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77" yWindow="27" windowWidth="13802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<sst xmlns="http://schemas.openxmlformats.org/spreadsheetml/2006/main" count="164" uniqueCount="113">
  <si>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</si>
  <si>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</si>
  <si>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</si>
  <si>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</si>
  <si>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</si>
  <si>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</si>
  <si>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</si>
  <si>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</si>
  <si>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</si>
  <si>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</si>
  <si>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</si>
  <si>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</si>
  <si>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</si>
  <si>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</si>
  <si>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</si>
  <si>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</si>
  <si>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</si>
  <si>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</si>
  <si>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</si>
  <si>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</si>
  <si>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</si>
  <si>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</si>
  <si>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</si>
  <si>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</si>
  <si>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</si>
  <si>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</si>
  <si>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</si>
  <si>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</si>
  <si>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</si>
  <si>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</si>
  <si>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</si>
  <si>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</si>
  <si>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</si>
  <si>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</si>
  <si>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</si>
  <si>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</si>
  <si>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</si>
  <si>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</si>
  <si>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</si>
  <si>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</si>
  <si>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</si>
  <si>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</si>
  <si>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</si>
  <si>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</si>
  <si>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</si>
  <si>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</si>
  <si>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</si>
  <si>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</si>
  <si>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</si>
  <si>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</si>
  <si>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</si>
  <si>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</si>
  <si>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</si>
  <si>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</si>
  <si>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</si>
  <si>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</si>
  <si>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</si>
  <si>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</si>
  <si>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</si>
  <si>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</si>
  <si>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</si>
  <si>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</si>
  <si>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</si>
  <si>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</si>
  <si>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</si>
  <si>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</si>
  <si>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</si>
  <si>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</si>
  <si>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</si>
  <si>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</si>
  <si>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</si>
  <si>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</si>
  <si>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</si>
  <si>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</si>
  <si>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</si>
  <si>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</si>
  <si>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</si>
  <si>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</si>
  <si>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</si>
  <si>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</si>
  <si>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</si>
  <si>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</si>
  <si>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</si>
  <si>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</si>
  <si>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</si>
  <si>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</si>
  <si>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</si>
  <si>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</si>
  <si>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</si>
  <si>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</si>
  <si>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</si>
  <si>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</si>
  <si>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</si>
  <si>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</si>
  <si>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</si>
  <si>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</si>
  <si>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</si>
  <si>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</si>
  <si>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</si>
  <si>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</si>
  <si>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</si>
  <si>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</si>
  <si>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</si>
  <si>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</si>
  <si>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</si>
  <si>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</si>
  <si>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</si>
  <si>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</si>
  <si>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</si>
  <si>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3 місяці, тис.грн.</t>
  </si>
  <si>
    <t>Відсоток виконання  плану 3 місяців</t>
  </si>
  <si>
    <t>Відхилення від  плану 3 місяців, тис.грн.</t>
  </si>
  <si>
    <t>Аналіз використання коштів загального фонду міського бюджету станом на 02.03.2018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</si>
</sst>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4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/>
    </xf>
    <xf numFmtId="190" fontId="4" fillId="34" borderId="10" xfId="0" applyNumberFormat="1" applyFont="1" applyFill="1" applyBorder="1" applyAlignment="1">
      <alignment/>
    </xf>
    <xf numFmtId="190" fontId="5" fillId="34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190" fontId="3" fillId="34" borderId="12" xfId="0" applyNumberFormat="1" applyFont="1" applyFill="1" applyBorder="1" applyAlignment="1">
      <alignment wrapText="1"/>
    </xf>
    <xf numFmtId="190" fontId="3" fillId="34" borderId="12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4" borderId="0" xfId="0" applyNumberFormat="1" applyFont="1" applyFill="1" applyAlignment="1">
      <alignment/>
    </xf>
    <xf numFmtId="190" fontId="5" fillId="34" borderId="0" xfId="0" applyNumberFormat="1" applyFont="1" applyFill="1" applyAlignment="1">
      <alignment/>
    </xf>
    <xf numFmtId="0" fontId="5" fillId="34" borderId="0" xfId="0" applyFont="1" applyFill="1" applyBorder="1" applyAlignment="1">
      <alignment/>
    </xf>
    <xf numFmtId="190" fontId="9" fillId="34" borderId="0" xfId="0" applyNumberFormat="1" applyFont="1" applyFill="1" applyAlignment="1">
      <alignment/>
    </xf>
    <xf numFmtId="189" fontId="0" fillId="34" borderId="0" xfId="0" applyNumberFormat="1" applyFont="1" applyFill="1" applyBorder="1" applyAlignment="1">
      <alignment/>
    </xf>
    <xf numFmtId="188" fontId="0" fillId="34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25"/>
          <c:w val="0.855"/>
          <c:h val="0.64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200580.6</c:v>
                </c:pt>
                <c:pt idx="1">
                  <c:v>190000</c:v>
                </c:pt>
                <c:pt idx="2">
                  <c:v>2776.4</c:v>
                </c:pt>
                <c:pt idx="3">
                  <c:v>7804.200000000006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29059.200000000008</c:v>
                </c:pt>
                <c:pt idx="1">
                  <c:v>28214.779999999995</c:v>
                </c:pt>
                <c:pt idx="2">
                  <c:v>399.6</c:v>
                </c:pt>
                <c:pt idx="3">
                  <c:v>444.8200000000128</c:v>
                </c:pt>
              </c:numCache>
            </c:numRef>
          </c:val>
          <c:shape val="box"/>
        </c:ser>
        <c:shape val="box"/>
        <c:axId val="2688432"/>
        <c:axId val="24195889"/>
      </c:bar3DChart>
      <c:catAx>
        <c:axId val="2688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195889"/>
        <c:crosses val="autoZero"/>
        <c:auto val="1"/>
        <c:lblOffset val="100"/>
        <c:tickLblSkip val="1"/>
        <c:noMultiLvlLbl val="0"/>
      </c:catAx>
      <c:valAx>
        <c:axId val="24195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84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4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1"/>
          <c:w val="0.843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7"/>
                <c:pt idx="0">
                  <c:v>826775</c:v>
                </c:pt>
                <c:pt idx="1">
                  <c:v>57538.8</c:v>
                </c:pt>
                <c:pt idx="2">
                  <c:v>649221.9</c:v>
                </c:pt>
                <c:pt idx="3">
                  <c:v>52816.3</c:v>
                </c:pt>
                <c:pt idx="4">
                  <c:v>88172.4</c:v>
                </c:pt>
                <c:pt idx="5">
                  <c:v>12738</c:v>
                </c:pt>
                <c:pt idx="6">
                  <c:v>23826.39999999998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7"/>
                <c:pt idx="0">
                  <c:v>114850.2</c:v>
                </c:pt>
                <c:pt idx="1">
                  <c:v>38254.1</c:v>
                </c:pt>
                <c:pt idx="2">
                  <c:v>98518.70000000001</c:v>
                </c:pt>
                <c:pt idx="3">
                  <c:v>2987.8</c:v>
                </c:pt>
                <c:pt idx="4">
                  <c:v>11090.800000000001</c:v>
                </c:pt>
                <c:pt idx="5">
                  <c:v>2170.8</c:v>
                </c:pt>
                <c:pt idx="6">
                  <c:v>82.0999999999849</c:v>
                </c:pt>
              </c:numCache>
            </c:numRef>
          </c:val>
          <c:shape val="box"/>
        </c:ser>
        <c:shape val="box"/>
        <c:axId val="16436410"/>
        <c:axId val="13709963"/>
      </c:bar3DChart>
      <c:catAx>
        <c:axId val="16436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709963"/>
        <c:crosses val="autoZero"/>
        <c:auto val="1"/>
        <c:lblOffset val="100"/>
        <c:tickLblSkip val="1"/>
        <c:noMultiLvlLbl val="0"/>
      </c:catAx>
      <c:valAx>
        <c:axId val="13709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364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424151.5</c:v>
                </c:pt>
                <c:pt idx="1">
                  <c:v>226186</c:v>
                </c:pt>
                <c:pt idx="2">
                  <c:v>424151.5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60124.4</c:v>
                </c:pt>
                <c:pt idx="1">
                  <c:v>41862.00000000001</c:v>
                </c:pt>
                <c:pt idx="2">
                  <c:v>60124.4</c:v>
                </c:pt>
              </c:numCache>
            </c:numRef>
          </c:val>
          <c:shape val="box"/>
        </c:ser>
        <c:shape val="box"/>
        <c:axId val="56280804"/>
        <c:axId val="36765189"/>
      </c:bar3DChart>
      <c:catAx>
        <c:axId val="56280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65189"/>
        <c:crosses val="autoZero"/>
        <c:auto val="1"/>
        <c:lblOffset val="100"/>
        <c:tickLblSkip val="1"/>
        <c:noMultiLvlLbl val="0"/>
      </c:catAx>
      <c:valAx>
        <c:axId val="36765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808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67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24805.1</c:v>
                </c:pt>
                <c:pt idx="1">
                  <c:v>12906.6</c:v>
                </c:pt>
                <c:pt idx="2">
                  <c:v>1783</c:v>
                </c:pt>
                <c:pt idx="3">
                  <c:v>1008</c:v>
                </c:pt>
                <c:pt idx="4">
                  <c:v>80.8</c:v>
                </c:pt>
                <c:pt idx="5">
                  <c:v>9026.699999999999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2918.7999999999997</c:v>
                </c:pt>
                <c:pt idx="1">
                  <c:v>1824.2</c:v>
                </c:pt>
                <c:pt idx="2">
                  <c:v>167.2</c:v>
                </c:pt>
                <c:pt idx="3">
                  <c:v>72</c:v>
                </c:pt>
                <c:pt idx="4">
                  <c:v>10.2</c:v>
                </c:pt>
                <c:pt idx="5">
                  <c:v>845.1999999999996</c:v>
                </c:pt>
              </c:numCache>
            </c:numRef>
          </c:val>
          <c:shape val="box"/>
        </c:ser>
        <c:shape val="box"/>
        <c:axId val="62451246"/>
        <c:axId val="25190303"/>
      </c:bar3DChart>
      <c:catAx>
        <c:axId val="62451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90303"/>
        <c:crosses val="autoZero"/>
        <c:auto val="1"/>
        <c:lblOffset val="100"/>
        <c:tickLblSkip val="1"/>
        <c:noMultiLvlLbl val="0"/>
      </c:catAx>
      <c:valAx>
        <c:axId val="251903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512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775"/>
          <c:w val="0.86375"/>
          <c:h val="0.64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37135.4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13200</c:v>
                </c:pt>
                <c:pt idx="6">
                  <c:v>1610.6000000000004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4020.0999999999995</c:v>
                </c:pt>
                <c:pt idx="1">
                  <c:v>2882.7</c:v>
                </c:pt>
                <c:pt idx="3">
                  <c:v>34</c:v>
                </c:pt>
                <c:pt idx="4">
                  <c:v>49.8</c:v>
                </c:pt>
                <c:pt idx="5">
                  <c:v>220</c:v>
                </c:pt>
                <c:pt idx="6">
                  <c:v>833.5999999999997</c:v>
                </c:pt>
              </c:numCache>
            </c:numRef>
          </c:val>
          <c:shape val="box"/>
        </c:ser>
        <c:shape val="box"/>
        <c:axId val="25386136"/>
        <c:axId val="27148633"/>
      </c:bar3DChart>
      <c:catAx>
        <c:axId val="25386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48633"/>
        <c:crosses val="autoZero"/>
        <c:auto val="1"/>
        <c:lblOffset val="100"/>
        <c:tickLblSkip val="2"/>
        <c:noMultiLvlLbl val="0"/>
      </c:catAx>
      <c:valAx>
        <c:axId val="27148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861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425"/>
          <c:w val="0.87775"/>
          <c:h val="0.67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9264.2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523.5000000000007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572.8000000000001</c:v>
                </c:pt>
                <c:pt idx="1">
                  <c:v>477.4000000000001</c:v>
                </c:pt>
                <c:pt idx="3">
                  <c:v>64.1</c:v>
                </c:pt>
                <c:pt idx="5">
                  <c:v>31.299999999999983</c:v>
                </c:pt>
              </c:numCache>
            </c:numRef>
          </c:val>
          <c:shape val="box"/>
        </c:ser>
        <c:shape val="box"/>
        <c:axId val="43011106"/>
        <c:axId val="51555635"/>
      </c:bar3DChart>
      <c:catAx>
        <c:axId val="43011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555635"/>
        <c:crosses val="autoZero"/>
        <c:auto val="1"/>
        <c:lblOffset val="100"/>
        <c:tickLblSkip val="1"/>
        <c:noMultiLvlLbl val="0"/>
      </c:catAx>
      <c:valAx>
        <c:axId val="51555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111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115"/>
          <c:w val="0.85425"/>
          <c:h val="0.70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46414.5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4035.8</c:v>
                </c:pt>
              </c:numCache>
            </c:numRef>
          </c:val>
          <c:shape val="box"/>
        </c:ser>
        <c:shape val="box"/>
        <c:axId val="61347532"/>
        <c:axId val="15256877"/>
      </c:bar3DChart>
      <c:catAx>
        <c:axId val="6134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256877"/>
        <c:crosses val="autoZero"/>
        <c:auto val="1"/>
        <c:lblOffset val="100"/>
        <c:tickLblSkip val="1"/>
        <c:noMultiLvlLbl val="0"/>
      </c:catAx>
      <c:valAx>
        <c:axId val="15256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475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826775</c:v>
                </c:pt>
                <c:pt idx="1">
                  <c:v>424151.5</c:v>
                </c:pt>
                <c:pt idx="2">
                  <c:v>24805.1</c:v>
                </c:pt>
                <c:pt idx="3">
                  <c:v>37135.4</c:v>
                </c:pt>
                <c:pt idx="4">
                  <c:v>9264.2</c:v>
                </c:pt>
                <c:pt idx="5">
                  <c:v>200580.6</c:v>
                </c:pt>
                <c:pt idx="6">
                  <c:v>46414.5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114850.2</c:v>
                </c:pt>
                <c:pt idx="1">
                  <c:v>60124.4</c:v>
                </c:pt>
                <c:pt idx="2">
                  <c:v>2918.7999999999997</c:v>
                </c:pt>
                <c:pt idx="3">
                  <c:v>4020.0999999999995</c:v>
                </c:pt>
                <c:pt idx="4">
                  <c:v>572.8000000000001</c:v>
                </c:pt>
                <c:pt idx="5">
                  <c:v>29059.200000000008</c:v>
                </c:pt>
                <c:pt idx="6">
                  <c:v>4035.8</c:v>
                </c:pt>
              </c:numCache>
            </c:numRef>
          </c:val>
          <c:shape val="box"/>
        </c:ser>
        <c:shape val="box"/>
        <c:axId val="3094166"/>
        <c:axId val="27847495"/>
      </c:bar3DChart>
      <c:catAx>
        <c:axId val="3094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847495"/>
        <c:crosses val="autoZero"/>
        <c:auto val="1"/>
        <c:lblOffset val="100"/>
        <c:tickLblSkip val="1"/>
        <c:noMultiLvlLbl val="0"/>
      </c:catAx>
      <c:valAx>
        <c:axId val="27847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41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6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34175"/>
          <c:w val="0.84125"/>
          <c:h val="0.45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фінансування'!$C$153:$C$158</c:f>
              <c:numCache>
                <c:ptCount val="6"/>
                <c:pt idx="0">
                  <c:v>889812.0000000001</c:v>
                </c:pt>
                <c:pt idx="1">
                  <c:v>110074.39999999998</c:v>
                </c:pt>
                <c:pt idx="2">
                  <c:v>54269.5</c:v>
                </c:pt>
                <c:pt idx="3">
                  <c:v>40455.4</c:v>
                </c:pt>
                <c:pt idx="4">
                  <c:v>15.4</c:v>
                </c:pt>
                <c:pt idx="5">
                  <c:v>1008563.0999999999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фінансування'!$D$153:$D$158</c:f>
              <c:numCache>
                <c:ptCount val="6"/>
                <c:pt idx="0">
                  <c:v>133992.78</c:v>
                </c:pt>
                <c:pt idx="1">
                  <c:v>13557.5</c:v>
                </c:pt>
                <c:pt idx="2">
                  <c:v>3027.5</c:v>
                </c:pt>
                <c:pt idx="3">
                  <c:v>3107.7999999999997</c:v>
                </c:pt>
                <c:pt idx="4">
                  <c:v>0</c:v>
                </c:pt>
                <c:pt idx="5">
                  <c:v>83050.11999999995</c:v>
                </c:pt>
              </c:numCache>
            </c:numRef>
          </c:val>
          <c:shape val="box"/>
        </c:ser>
        <c:shape val="box"/>
        <c:axId val="49300864"/>
        <c:axId val="41054593"/>
      </c:bar3DChart>
      <c:catAx>
        <c:axId val="49300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054593"/>
        <c:crosses val="autoZero"/>
        <c:auto val="1"/>
        <c:lblOffset val="100"/>
        <c:tickLblSkip val="1"/>
        <c:noMultiLvlLbl val="0"/>
      </c:catAx>
      <c:valAx>
        <c:axId val="41054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008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7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29" sqref="J129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63" customHeight="1">
      <c r="A1" s="173" t="s">
        <v>112</v>
      </c>
      <c r="B1" s="173"/>
      <c r="C1" s="173"/>
      <c r="D1" s="173"/>
      <c r="E1" s="173"/>
      <c r="F1" s="173"/>
      <c r="G1" s="173"/>
      <c r="H1" s="173"/>
      <c r="I1" s="173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7" t="s">
        <v>40</v>
      </c>
      <c r="B3" s="180" t="s">
        <v>109</v>
      </c>
      <c r="C3" s="174" t="s">
        <v>106</v>
      </c>
      <c r="D3" s="174" t="s">
        <v>22</v>
      </c>
      <c r="E3" s="174" t="s">
        <v>21</v>
      </c>
      <c r="F3" s="174" t="s">
        <v>110</v>
      </c>
      <c r="G3" s="174" t="s">
        <v>107</v>
      </c>
      <c r="H3" s="174" t="s">
        <v>111</v>
      </c>
      <c r="I3" s="174" t="s">
        <v>108</v>
      </c>
    </row>
    <row r="4" spans="1:9" ht="24.75" customHeight="1">
      <c r="A4" s="178"/>
      <c r="B4" s="181"/>
      <c r="C4" s="175"/>
      <c r="D4" s="175"/>
      <c r="E4" s="175"/>
      <c r="F4" s="175"/>
      <c r="G4" s="175"/>
      <c r="H4" s="175"/>
      <c r="I4" s="175"/>
    </row>
    <row r="5" spans="1:9" ht="39" customHeight="1" thickBot="1">
      <c r="A5" s="179"/>
      <c r="B5" s="182"/>
      <c r="C5" s="176"/>
      <c r="D5" s="176"/>
      <c r="E5" s="176"/>
      <c r="F5" s="176"/>
      <c r="G5" s="176"/>
      <c r="H5" s="176"/>
      <c r="I5" s="176"/>
    </row>
    <row r="6" spans="1:11" ht="18.75" thickBot="1">
      <c r="A6" s="20" t="s">
        <v>26</v>
      </c>
      <c r="B6" s="38">
        <v>216035</v>
      </c>
      <c r="C6" s="39">
        <v>826775</v>
      </c>
      <c r="D6" s="40">
        <f>18784.8+19.1+1564+604.6+17261.2+400.5+10875.2+151.3+0.7+306.3+593.7+110+1396.3+9132.6+10728.8+272.5+616.2+58.8+521.9+257.8+1268.1+880.8+27792.6+9963.6+1287.2+1.6</f>
        <v>114850.2</v>
      </c>
      <c r="E6" s="3">
        <f>D6/D152*100</f>
        <v>48.51410243575431</v>
      </c>
      <c r="F6" s="3">
        <f>D6/B6*100</f>
        <v>53.16277455042007</v>
      </c>
      <c r="G6" s="3">
        <f aca="true" t="shared" si="0" ref="G6:G43">D6/C6*100</f>
        <v>13.891348915968674</v>
      </c>
      <c r="H6" s="40">
        <f>B6-D6</f>
        <v>101184.8</v>
      </c>
      <c r="I6" s="40">
        <f aca="true" t="shared" si="1" ref="I6:I43">C6-D6</f>
        <v>711924.8</v>
      </c>
      <c r="J6" s="159"/>
      <c r="K6" s="156"/>
    </row>
    <row r="7" spans="1:12" s="94" customFormat="1" ht="18">
      <c r="A7" s="142" t="s">
        <v>81</v>
      </c>
      <c r="B7" s="143">
        <v>57538.8</v>
      </c>
      <c r="C7" s="144">
        <v>57538.8</v>
      </c>
      <c r="D7" s="145">
        <f>8282.7+10875.2+9132.6+9963.6</f>
        <v>38254.1</v>
      </c>
      <c r="E7" s="146">
        <f>D7/D6*100</f>
        <v>33.30782184097198</v>
      </c>
      <c r="F7" s="146">
        <f>D7/B7*100</f>
        <v>66.48400731332596</v>
      </c>
      <c r="G7" s="146">
        <f>D7/C7*100</f>
        <v>66.48400731332596</v>
      </c>
      <c r="H7" s="145">
        <f>B7-D7</f>
        <v>19284.700000000004</v>
      </c>
      <c r="I7" s="145">
        <f t="shared" si="1"/>
        <v>19284.700000000004</v>
      </c>
      <c r="J7" s="160"/>
      <c r="K7" s="156"/>
      <c r="L7" s="141"/>
    </row>
    <row r="8" spans="1:12" s="93" customFormat="1" ht="18">
      <c r="A8" s="103" t="s">
        <v>3</v>
      </c>
      <c r="B8" s="128">
        <v>153480.2</v>
      </c>
      <c r="C8" s="129">
        <v>649221.9</v>
      </c>
      <c r="D8" s="105">
        <f>18784.8+17058.5+10875.2+340.5+963.8+9132.6+10728.8+20670.9+9963.6</f>
        <v>98518.70000000001</v>
      </c>
      <c r="E8" s="107">
        <f>D8/D6*100</f>
        <v>85.78017278158855</v>
      </c>
      <c r="F8" s="107">
        <f>D8/B8*100</f>
        <v>64.18984338044908</v>
      </c>
      <c r="G8" s="107">
        <f t="shared" si="0"/>
        <v>15.174888585859476</v>
      </c>
      <c r="H8" s="105">
        <f>B8-D8</f>
        <v>54961.5</v>
      </c>
      <c r="I8" s="105">
        <f t="shared" si="1"/>
        <v>550703.2</v>
      </c>
      <c r="J8" s="159"/>
      <c r="K8" s="156"/>
      <c r="L8" s="141"/>
    </row>
    <row r="9" spans="1:12" s="93" customFormat="1" ht="18" hidden="1">
      <c r="A9" s="103" t="s">
        <v>2</v>
      </c>
      <c r="B9" s="128">
        <v>0</v>
      </c>
      <c r="C9" s="129">
        <v>0</v>
      </c>
      <c r="D9" s="105"/>
      <c r="E9" s="130">
        <f>D9/D6*100</f>
        <v>0</v>
      </c>
      <c r="F9" s="107" t="e">
        <f>D9/B9*100</f>
        <v>#DIV/0!</v>
      </c>
      <c r="G9" s="107" t="e">
        <f t="shared" si="0"/>
        <v>#DIV/0!</v>
      </c>
      <c r="H9" s="105">
        <f aca="true" t="shared" si="2" ref="H9:H43">B9-D9</f>
        <v>0</v>
      </c>
      <c r="I9" s="105">
        <f t="shared" si="1"/>
        <v>0</v>
      </c>
      <c r="J9" s="159"/>
      <c r="K9" s="156"/>
      <c r="L9" s="141"/>
    </row>
    <row r="10" spans="1:12" s="93" customFormat="1" ht="18">
      <c r="A10" s="103" t="s">
        <v>1</v>
      </c>
      <c r="B10" s="128">
        <v>14028.9</v>
      </c>
      <c r="C10" s="129">
        <v>52816.3</v>
      </c>
      <c r="D10" s="147">
        <f>48.9+218.8+88.4+85.8+204.3+521.3+87.9+293.2+244.8+269.9+23.7+37.8+76.9+443.5+72.7+206+64-0.1</f>
        <v>2987.8</v>
      </c>
      <c r="E10" s="107">
        <f>D10/D6*100</f>
        <v>2.601475661339728</v>
      </c>
      <c r="F10" s="107">
        <f aca="true" t="shared" si="3" ref="F10:F41">D10/B10*100</f>
        <v>21.29746451967011</v>
      </c>
      <c r="G10" s="107">
        <f t="shared" si="0"/>
        <v>5.656965747316643</v>
      </c>
      <c r="H10" s="105">
        <f t="shared" si="2"/>
        <v>11041.099999999999</v>
      </c>
      <c r="I10" s="105">
        <f t="shared" si="1"/>
        <v>49828.5</v>
      </c>
      <c r="J10" s="159"/>
      <c r="K10" s="156"/>
      <c r="L10" s="141"/>
    </row>
    <row r="11" spans="1:12" s="93" customFormat="1" ht="18">
      <c r="A11" s="103" t="s">
        <v>0</v>
      </c>
      <c r="B11" s="128">
        <f>24343.5+17197.4</f>
        <v>41540.9</v>
      </c>
      <c r="C11" s="129">
        <v>88172.4</v>
      </c>
      <c r="D11" s="148">
        <f>19.1+640.6+125.5+108.2+60+64.1+0.7+97.8+43.1+15+139.1+27.1+31.6+324.4+180.4+824.6+269.5+6895.2+1223.1+1.6+0.1</f>
        <v>11090.800000000001</v>
      </c>
      <c r="E11" s="107">
        <f>D11/D6*100</f>
        <v>9.656752883321058</v>
      </c>
      <c r="F11" s="107">
        <f t="shared" si="3"/>
        <v>26.69850677284315</v>
      </c>
      <c r="G11" s="107">
        <f t="shared" si="0"/>
        <v>12.578539316157894</v>
      </c>
      <c r="H11" s="105">
        <f t="shared" si="2"/>
        <v>30450.1</v>
      </c>
      <c r="I11" s="105">
        <f t="shared" si="1"/>
        <v>77081.59999999999</v>
      </c>
      <c r="J11" s="159"/>
      <c r="K11" s="156"/>
      <c r="L11" s="141"/>
    </row>
    <row r="12" spans="1:12" s="93" customFormat="1" ht="18">
      <c r="A12" s="103" t="s">
        <v>14</v>
      </c>
      <c r="B12" s="128">
        <v>3359.6</v>
      </c>
      <c r="C12" s="129">
        <v>12738</v>
      </c>
      <c r="D12" s="105">
        <f>874.5+251.8+346.3+159.7+538.5</f>
        <v>2170.8</v>
      </c>
      <c r="E12" s="107">
        <f>D12/D6*100</f>
        <v>1.8901142531750057</v>
      </c>
      <c r="F12" s="107">
        <f t="shared" si="3"/>
        <v>64.6148350994166</v>
      </c>
      <c r="G12" s="107">
        <f t="shared" si="0"/>
        <v>17.041921808761188</v>
      </c>
      <c r="H12" s="105">
        <f>B12-D12</f>
        <v>1188.7999999999997</v>
      </c>
      <c r="I12" s="105">
        <f t="shared" si="1"/>
        <v>10567.2</v>
      </c>
      <c r="J12" s="159"/>
      <c r="K12" s="156"/>
      <c r="L12" s="141"/>
    </row>
    <row r="13" spans="1:12" s="93" customFormat="1" ht="18.75" thickBot="1">
      <c r="A13" s="103" t="s">
        <v>27</v>
      </c>
      <c r="B13" s="129">
        <f>B6-B8-B9-B10-B11-B12</f>
        <v>3625.3999999999855</v>
      </c>
      <c r="C13" s="129">
        <f>C6-C8-C9-C10-C11-C12</f>
        <v>23826.39999999998</v>
      </c>
      <c r="D13" s="129">
        <f>D6-D8-D9-D10-D11-D12</f>
        <v>82.0999999999849</v>
      </c>
      <c r="E13" s="107">
        <f>D13/D6*100</f>
        <v>0.07148442057565847</v>
      </c>
      <c r="F13" s="107">
        <f t="shared" si="3"/>
        <v>2.2645777017704316</v>
      </c>
      <c r="G13" s="107">
        <f t="shared" si="0"/>
        <v>0.344575764697919</v>
      </c>
      <c r="H13" s="105">
        <f t="shared" si="2"/>
        <v>3543.3000000000006</v>
      </c>
      <c r="I13" s="105">
        <f t="shared" si="1"/>
        <v>23744.299999999996</v>
      </c>
      <c r="J13" s="159"/>
      <c r="K13" s="156"/>
      <c r="L13" s="141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160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160"/>
      <c r="K15" s="11"/>
      <c r="L15" s="11"/>
      <c r="M15" s="11"/>
    </row>
    <row r="16" spans="1:13" s="32" customFormat="1" ht="18.7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160"/>
      <c r="K16" s="11"/>
      <c r="L16" s="11"/>
      <c r="M16" s="11"/>
    </row>
    <row r="17" spans="1:13" s="32" customFormat="1" ht="18.7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160"/>
      <c r="K17" s="11"/>
      <c r="L17" s="11"/>
      <c r="M17" s="11"/>
    </row>
    <row r="18" spans="1:11" ht="18.75" thickBot="1">
      <c r="A18" s="20" t="s">
        <v>19</v>
      </c>
      <c r="B18" s="38">
        <v>106061.4</v>
      </c>
      <c r="C18" s="39">
        <v>424151.5</v>
      </c>
      <c r="D18" s="40">
        <f>10253+9229.9+6482.3+67.5+83+34.1+81.4+107.8+99.9+131.7+68+568.1+670.4+12.4+333.8+10669.5+2627.5+1015+0.9+691.6+930.5+6776.6+9161.8+16.3+11.4</f>
        <v>60124.4</v>
      </c>
      <c r="E18" s="3">
        <f>D18/D152*100</f>
        <v>25.397267923680296</v>
      </c>
      <c r="F18" s="3">
        <f>D18/B18*100</f>
        <v>56.68829564761544</v>
      </c>
      <c r="G18" s="3">
        <f t="shared" si="0"/>
        <v>14.175218052983427</v>
      </c>
      <c r="H18" s="40">
        <f>B18-D18</f>
        <v>45936.99999999999</v>
      </c>
      <c r="I18" s="40">
        <f t="shared" si="1"/>
        <v>364027.1</v>
      </c>
      <c r="J18" s="159"/>
      <c r="K18" s="156"/>
    </row>
    <row r="19" spans="1:13" s="94" customFormat="1" ht="18">
      <c r="A19" s="142" t="s">
        <v>82</v>
      </c>
      <c r="B19" s="143">
        <v>66008.8</v>
      </c>
      <c r="C19" s="144">
        <v>226186</v>
      </c>
      <c r="D19" s="145">
        <f>10253+8836.7+83+81.4+107.8+99.9+68+670.4+333.8+10669.5+517.6+20+0.9+930.5+9161.8+16.3+11.4</f>
        <v>41862.00000000001</v>
      </c>
      <c r="E19" s="146">
        <f>D19/D18*100</f>
        <v>69.62564283385781</v>
      </c>
      <c r="F19" s="146">
        <f t="shared" si="3"/>
        <v>63.4188168850214</v>
      </c>
      <c r="G19" s="146">
        <f t="shared" si="0"/>
        <v>18.507776785477443</v>
      </c>
      <c r="H19" s="145">
        <f t="shared" si="2"/>
        <v>24146.799999999996</v>
      </c>
      <c r="I19" s="145">
        <f t="shared" si="1"/>
        <v>184324</v>
      </c>
      <c r="J19" s="160"/>
      <c r="K19" s="156"/>
      <c r="L19" s="93"/>
      <c r="M19" s="93"/>
    </row>
    <row r="20" spans="1:11" s="93" customFormat="1" ht="18" hidden="1">
      <c r="A20" s="103" t="s">
        <v>5</v>
      </c>
      <c r="B20" s="128"/>
      <c r="C20" s="129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J20" s="159"/>
      <c r="K20" s="156">
        <f>C20-B20</f>
        <v>0</v>
      </c>
    </row>
    <row r="21" spans="1:11" s="93" customFormat="1" ht="18" hidden="1">
      <c r="A21" s="103" t="s">
        <v>2</v>
      </c>
      <c r="B21" s="128"/>
      <c r="C21" s="129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J21" s="159"/>
      <c r="K21" s="156">
        <f>C21-B21</f>
        <v>0</v>
      </c>
    </row>
    <row r="22" spans="1:11" s="93" customFormat="1" ht="18" hidden="1">
      <c r="A22" s="103" t="s">
        <v>1</v>
      </c>
      <c r="B22" s="128"/>
      <c r="C22" s="129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J22" s="159"/>
      <c r="K22" s="156">
        <f>C22-B22</f>
        <v>0</v>
      </c>
    </row>
    <row r="23" spans="1:11" s="93" customFormat="1" ht="18" hidden="1">
      <c r="A23" s="103" t="s">
        <v>0</v>
      </c>
      <c r="B23" s="128"/>
      <c r="C23" s="129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J23" s="159"/>
      <c r="K23" s="156">
        <f>C23-B23</f>
        <v>0</v>
      </c>
    </row>
    <row r="24" spans="1:11" s="93" customFormat="1" ht="18" hidden="1">
      <c r="A24" s="103" t="s">
        <v>14</v>
      </c>
      <c r="B24" s="128"/>
      <c r="C24" s="129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J24" s="159"/>
      <c r="K24" s="156">
        <f>C24-B24</f>
        <v>0</v>
      </c>
    </row>
    <row r="25" spans="1:11" s="93" customFormat="1" ht="18.75" thickBot="1">
      <c r="A25" s="103" t="s">
        <v>27</v>
      </c>
      <c r="B25" s="129">
        <f>B18</f>
        <v>106061.4</v>
      </c>
      <c r="C25" s="129">
        <f>C18</f>
        <v>424151.5</v>
      </c>
      <c r="D25" s="129">
        <f>D18</f>
        <v>60124.4</v>
      </c>
      <c r="E25" s="107">
        <f>D25/D18*100</f>
        <v>100</v>
      </c>
      <c r="F25" s="107">
        <f t="shared" si="3"/>
        <v>56.68829564761544</v>
      </c>
      <c r="G25" s="107">
        <f t="shared" si="0"/>
        <v>14.175218052983427</v>
      </c>
      <c r="H25" s="105">
        <f t="shared" si="2"/>
        <v>45936.99999999999</v>
      </c>
      <c r="I25" s="105">
        <f t="shared" si="1"/>
        <v>364027.1</v>
      </c>
      <c r="J25" s="159"/>
      <c r="K25" s="156"/>
    </row>
    <row r="26" spans="1:11" ht="55.5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159"/>
      <c r="K26" s="156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159"/>
      <c r="K27" s="156">
        <f t="shared" si="4"/>
        <v>0</v>
      </c>
    </row>
    <row r="28" spans="1:11" ht="18.7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159"/>
      <c r="K28" s="156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159"/>
      <c r="K29" s="156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159"/>
      <c r="K30" s="156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159"/>
      <c r="K31" s="156">
        <f t="shared" si="4"/>
        <v>0</v>
      </c>
    </row>
    <row r="32" spans="1:11" ht="18.7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159"/>
      <c r="K32" s="156">
        <f t="shared" si="4"/>
        <v>0</v>
      </c>
    </row>
    <row r="33" spans="1:11" ht="18.75" thickBot="1">
      <c r="A33" s="20" t="s">
        <v>17</v>
      </c>
      <c r="B33" s="38">
        <v>6253.8</v>
      </c>
      <c r="C33" s="39">
        <v>24805.1</v>
      </c>
      <c r="D33" s="42">
        <f>364.6+44.8+35.8+191.3+646.1+25.1+164.7+15+5.1+531+54.3+2.5+15.8+202.7+1.6+22.1+596.2+0.1</f>
        <v>2918.7999999999997</v>
      </c>
      <c r="E33" s="3">
        <f>D33/D152*100</f>
        <v>1.2329361393317528</v>
      </c>
      <c r="F33" s="3">
        <f>D33/B33*100</f>
        <v>46.67242316671463</v>
      </c>
      <c r="G33" s="3">
        <f t="shared" si="0"/>
        <v>11.766935025458473</v>
      </c>
      <c r="H33" s="40">
        <f t="shared" si="2"/>
        <v>3335.0000000000005</v>
      </c>
      <c r="I33" s="40">
        <f t="shared" si="1"/>
        <v>21886.3</v>
      </c>
      <c r="J33" s="159"/>
      <c r="K33" s="156"/>
    </row>
    <row r="34" spans="1:11" s="93" customFormat="1" ht="18">
      <c r="A34" s="103" t="s">
        <v>3</v>
      </c>
      <c r="B34" s="128">
        <v>3016.5</v>
      </c>
      <c r="C34" s="129">
        <v>12906.6</v>
      </c>
      <c r="D34" s="105">
        <f>364.6+548.1+389.3+522.2</f>
        <v>1824.2</v>
      </c>
      <c r="E34" s="107">
        <f>D34/D33*100</f>
        <v>62.49828696724682</v>
      </c>
      <c r="F34" s="107">
        <f t="shared" si="3"/>
        <v>60.47405934029505</v>
      </c>
      <c r="G34" s="107">
        <f t="shared" si="0"/>
        <v>14.133853997179738</v>
      </c>
      <c r="H34" s="105">
        <f t="shared" si="2"/>
        <v>1192.3</v>
      </c>
      <c r="I34" s="105">
        <f t="shared" si="1"/>
        <v>11082.4</v>
      </c>
      <c r="J34" s="159"/>
      <c r="K34" s="156"/>
    </row>
    <row r="35" spans="1:11" s="93" customFormat="1" ht="18" hidden="1">
      <c r="A35" s="103" t="s">
        <v>1</v>
      </c>
      <c r="B35" s="128"/>
      <c r="C35" s="129"/>
      <c r="D35" s="105"/>
      <c r="E35" s="107">
        <f>D35/D33*100</f>
        <v>0</v>
      </c>
      <c r="F35" s="107" t="e">
        <f t="shared" si="3"/>
        <v>#DIV/0!</v>
      </c>
      <c r="G35" s="107" t="e">
        <f t="shared" si="0"/>
        <v>#DIV/0!</v>
      </c>
      <c r="H35" s="105">
        <f t="shared" si="2"/>
        <v>0</v>
      </c>
      <c r="I35" s="105">
        <f t="shared" si="1"/>
        <v>0</v>
      </c>
      <c r="J35" s="159"/>
      <c r="K35" s="156"/>
    </row>
    <row r="36" spans="1:11" s="93" customFormat="1" ht="18">
      <c r="A36" s="103" t="s">
        <v>0</v>
      </c>
      <c r="B36" s="128">
        <v>715.8</v>
      </c>
      <c r="C36" s="129">
        <v>1783</v>
      </c>
      <c r="D36" s="105">
        <f>0.3+11.3+141.7+12.6+0.9+0.4</f>
        <v>167.2</v>
      </c>
      <c r="E36" s="107">
        <f>D36/D33*100</f>
        <v>5.72838152665479</v>
      </c>
      <c r="F36" s="107">
        <f t="shared" si="3"/>
        <v>23.358480022352612</v>
      </c>
      <c r="G36" s="107">
        <f t="shared" si="0"/>
        <v>9.377453729669098</v>
      </c>
      <c r="H36" s="105">
        <f t="shared" si="2"/>
        <v>548.5999999999999</v>
      </c>
      <c r="I36" s="105">
        <f t="shared" si="1"/>
        <v>1615.8</v>
      </c>
      <c r="J36" s="159"/>
      <c r="K36" s="156"/>
    </row>
    <row r="37" spans="1:12" s="94" customFormat="1" ht="18">
      <c r="A37" s="119" t="s">
        <v>7</v>
      </c>
      <c r="B37" s="139">
        <v>148.1</v>
      </c>
      <c r="C37" s="140">
        <v>1008</v>
      </c>
      <c r="D37" s="110">
        <f>44.8+25.1+1.6+0.5</f>
        <v>72</v>
      </c>
      <c r="E37" s="114">
        <f>D37/D33*100</f>
        <v>2.466767164588187</v>
      </c>
      <c r="F37" s="114">
        <f t="shared" si="3"/>
        <v>48.61580013504389</v>
      </c>
      <c r="G37" s="114">
        <f t="shared" si="0"/>
        <v>7.142857142857142</v>
      </c>
      <c r="H37" s="110">
        <f t="shared" si="2"/>
        <v>76.1</v>
      </c>
      <c r="I37" s="110">
        <f t="shared" si="1"/>
        <v>936</v>
      </c>
      <c r="J37" s="160"/>
      <c r="K37" s="156"/>
      <c r="L37" s="141"/>
    </row>
    <row r="38" spans="1:11" s="93" customFormat="1" ht="18">
      <c r="A38" s="103" t="s">
        <v>14</v>
      </c>
      <c r="B38" s="128">
        <v>15.3</v>
      </c>
      <c r="C38" s="129">
        <v>80.8</v>
      </c>
      <c r="D38" s="129">
        <f>5.1+5.1</f>
        <v>10.2</v>
      </c>
      <c r="E38" s="107">
        <f>D38/D33*100</f>
        <v>0.34945868164999316</v>
      </c>
      <c r="F38" s="107">
        <f t="shared" si="3"/>
        <v>66.66666666666666</v>
      </c>
      <c r="G38" s="107">
        <f t="shared" si="0"/>
        <v>12.623762376237623</v>
      </c>
      <c r="H38" s="105">
        <f t="shared" si="2"/>
        <v>5.100000000000001</v>
      </c>
      <c r="I38" s="105">
        <f t="shared" si="1"/>
        <v>70.6</v>
      </c>
      <c r="J38" s="159"/>
      <c r="K38" s="156"/>
    </row>
    <row r="39" spans="1:11" s="93" customFormat="1" ht="18.75" thickBot="1">
      <c r="A39" s="103" t="s">
        <v>27</v>
      </c>
      <c r="B39" s="128">
        <f>B33-B34-B36-B37-B35-B38</f>
        <v>2358.1</v>
      </c>
      <c r="C39" s="128">
        <f>C33-C34-C36-C37-C35-C38</f>
        <v>9026.699999999999</v>
      </c>
      <c r="D39" s="128">
        <f>D33-D34-D36-D37-D35-D38</f>
        <v>845.1999999999996</v>
      </c>
      <c r="E39" s="107">
        <f>D39/D33*100</f>
        <v>28.957105659860204</v>
      </c>
      <c r="F39" s="107">
        <f t="shared" si="3"/>
        <v>35.84241550400745</v>
      </c>
      <c r="G39" s="107">
        <f t="shared" si="0"/>
        <v>9.363333222550875</v>
      </c>
      <c r="H39" s="105">
        <f>B39-D39</f>
        <v>1512.9000000000003</v>
      </c>
      <c r="I39" s="105">
        <f t="shared" si="1"/>
        <v>8181.499999999999</v>
      </c>
      <c r="J39" s="159"/>
      <c r="K39" s="156"/>
    </row>
    <row r="40" spans="1:11" ht="18.7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159"/>
      <c r="K40" s="156">
        <f>C40-B40</f>
        <v>0</v>
      </c>
    </row>
    <row r="41" spans="1:11" ht="18.7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159"/>
      <c r="K41" s="156">
        <f>C41-B41</f>
        <v>0</v>
      </c>
    </row>
    <row r="42" spans="1:11" ht="18.7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159"/>
      <c r="K42" s="156">
        <f>C42-B42</f>
        <v>0</v>
      </c>
    </row>
    <row r="43" spans="1:11" ht="18.75" thickBot="1">
      <c r="A43" s="12" t="s">
        <v>16</v>
      </c>
      <c r="B43" s="76">
        <v>798.5</v>
      </c>
      <c r="C43" s="39">
        <v>1126.9</v>
      </c>
      <c r="D43" s="40">
        <f>63.9+1.1+0.6+70.8</f>
        <v>136.39999999999998</v>
      </c>
      <c r="E43" s="3">
        <f>D43/D152*100</f>
        <v>0.05761699650707519</v>
      </c>
      <c r="F43" s="3">
        <f>D43/B43*100</f>
        <v>17.082028804007514</v>
      </c>
      <c r="G43" s="3">
        <f t="shared" si="0"/>
        <v>12.104002129736442</v>
      </c>
      <c r="H43" s="40">
        <f t="shared" si="2"/>
        <v>662.1</v>
      </c>
      <c r="I43" s="40">
        <f t="shared" si="1"/>
        <v>990.5000000000001</v>
      </c>
      <c r="J43" s="159"/>
      <c r="K43" s="156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159"/>
      <c r="K44" s="156"/>
    </row>
    <row r="45" spans="1:11" ht="18.75" thickBot="1">
      <c r="A45" s="20" t="s">
        <v>44</v>
      </c>
      <c r="B45" s="38">
        <v>3313.5</v>
      </c>
      <c r="C45" s="39">
        <v>13576.3</v>
      </c>
      <c r="D45" s="40">
        <f>237.1+562.8+52.3+349.2+679.9</f>
        <v>1881.2999999999997</v>
      </c>
      <c r="E45" s="3">
        <f>D45/D152*100</f>
        <v>0.7946836915598282</v>
      </c>
      <c r="F45" s="3">
        <f>D45/B45*100</f>
        <v>56.77682209144408</v>
      </c>
      <c r="G45" s="3">
        <f aca="true" t="shared" si="5" ref="G45:G76">D45/C45*100</f>
        <v>13.857236507737747</v>
      </c>
      <c r="H45" s="40">
        <f>B45-D45</f>
        <v>1432.2000000000003</v>
      </c>
      <c r="I45" s="40">
        <f aca="true" t="shared" si="6" ref="I45:I77">C45-D45</f>
        <v>11695</v>
      </c>
      <c r="J45" s="159"/>
      <c r="K45" s="156"/>
    </row>
    <row r="46" spans="1:11" s="93" customFormat="1" ht="18">
      <c r="A46" s="103" t="s">
        <v>3</v>
      </c>
      <c r="B46" s="128">
        <v>2882.1</v>
      </c>
      <c r="C46" s="129">
        <v>12256.4</v>
      </c>
      <c r="D46" s="105">
        <f>237.1+551.8+334.1+652.5</f>
        <v>1775.5</v>
      </c>
      <c r="E46" s="107">
        <f>D46/D45*100</f>
        <v>94.37622920321056</v>
      </c>
      <c r="F46" s="107">
        <f aca="true" t="shared" si="7" ref="F46:F74">D46/B46*100</f>
        <v>61.60438569098922</v>
      </c>
      <c r="G46" s="107">
        <f t="shared" si="5"/>
        <v>14.486309193564178</v>
      </c>
      <c r="H46" s="105">
        <f aca="true" t="shared" si="8" ref="H46:H74">B46-D46</f>
        <v>1106.6</v>
      </c>
      <c r="I46" s="105">
        <f t="shared" si="6"/>
        <v>10480.9</v>
      </c>
      <c r="J46" s="159"/>
      <c r="K46" s="156"/>
    </row>
    <row r="47" spans="1:11" s="93" customFormat="1" ht="18">
      <c r="A47" s="103" t="s">
        <v>2</v>
      </c>
      <c r="B47" s="128">
        <v>0.8</v>
      </c>
      <c r="C47" s="129">
        <v>1.5</v>
      </c>
      <c r="D47" s="105"/>
      <c r="E47" s="107">
        <f>D47/D45*100</f>
        <v>0</v>
      </c>
      <c r="F47" s="107">
        <f t="shared" si="7"/>
        <v>0</v>
      </c>
      <c r="G47" s="107">
        <f t="shared" si="5"/>
        <v>0</v>
      </c>
      <c r="H47" s="105">
        <f t="shared" si="8"/>
        <v>0.8</v>
      </c>
      <c r="I47" s="105">
        <f t="shared" si="6"/>
        <v>1.5</v>
      </c>
      <c r="J47" s="159"/>
      <c r="K47" s="156"/>
    </row>
    <row r="48" spans="1:11" s="93" customFormat="1" ht="18">
      <c r="A48" s="103" t="s">
        <v>1</v>
      </c>
      <c r="B48" s="128">
        <v>19.7</v>
      </c>
      <c r="C48" s="129">
        <v>98.9</v>
      </c>
      <c r="D48" s="105">
        <v>5.7</v>
      </c>
      <c r="E48" s="107">
        <f>D48/D45*100</f>
        <v>0.3029819805453676</v>
      </c>
      <c r="F48" s="107">
        <f t="shared" si="7"/>
        <v>28.934010152284266</v>
      </c>
      <c r="G48" s="107">
        <f t="shared" si="5"/>
        <v>5.763397371081901</v>
      </c>
      <c r="H48" s="105">
        <f t="shared" si="8"/>
        <v>14</v>
      </c>
      <c r="I48" s="105">
        <f t="shared" si="6"/>
        <v>93.2</v>
      </c>
      <c r="J48" s="159"/>
      <c r="K48" s="156"/>
    </row>
    <row r="49" spans="1:11" s="93" customFormat="1" ht="18">
      <c r="A49" s="103" t="s">
        <v>0</v>
      </c>
      <c r="B49" s="128">
        <v>345.2</v>
      </c>
      <c r="C49" s="129">
        <v>879.8</v>
      </c>
      <c r="D49" s="105">
        <f>7.3+51.9+12.7-0.1</f>
        <v>71.8</v>
      </c>
      <c r="E49" s="107">
        <f>D49/D45*100</f>
        <v>3.816509860203052</v>
      </c>
      <c r="F49" s="107">
        <f t="shared" si="7"/>
        <v>20.799536500579375</v>
      </c>
      <c r="G49" s="107">
        <f t="shared" si="5"/>
        <v>8.160945669470335</v>
      </c>
      <c r="H49" s="105">
        <f t="shared" si="8"/>
        <v>273.4</v>
      </c>
      <c r="I49" s="105">
        <f t="shared" si="6"/>
        <v>808</v>
      </c>
      <c r="J49" s="159"/>
      <c r="K49" s="156"/>
    </row>
    <row r="50" spans="1:11" s="93" customFormat="1" ht="18.75" thickBot="1">
      <c r="A50" s="103" t="s">
        <v>27</v>
      </c>
      <c r="B50" s="129">
        <f>B45-B46-B49-B48-B47</f>
        <v>65.7000000000001</v>
      </c>
      <c r="C50" s="129">
        <f>C45-C46-C49-C48-C47</f>
        <v>339.6999999999997</v>
      </c>
      <c r="D50" s="129">
        <f>D45-D46-D49-D48-D47</f>
        <v>28.29999999999973</v>
      </c>
      <c r="E50" s="107">
        <f>D50/D45*100</f>
        <v>1.5042789560410215</v>
      </c>
      <c r="F50" s="107">
        <f t="shared" si="7"/>
        <v>43.07458143074534</v>
      </c>
      <c r="G50" s="107">
        <f t="shared" si="5"/>
        <v>8.330880188401458</v>
      </c>
      <c r="H50" s="105">
        <f t="shared" si="8"/>
        <v>37.400000000000375</v>
      </c>
      <c r="I50" s="105">
        <f t="shared" si="6"/>
        <v>311.4</v>
      </c>
      <c r="J50" s="159"/>
      <c r="K50" s="156"/>
    </row>
    <row r="51" spans="1:11" ht="18.75" thickBot="1">
      <c r="A51" s="20" t="s">
        <v>4</v>
      </c>
      <c r="B51" s="38">
        <v>7679.4</v>
      </c>
      <c r="C51" s="39">
        <v>37135.4</v>
      </c>
      <c r="D51" s="40">
        <f>632.9+35.2+911.5+180.2+1+93.6+110+157.4+908.3+5.2+0.4+827.7+156.7</f>
        <v>4020.0999999999995</v>
      </c>
      <c r="E51" s="3">
        <f>D51/D152*100</f>
        <v>1.698138472566664</v>
      </c>
      <c r="F51" s="3">
        <f>D51/B51*100</f>
        <v>52.34914186004115</v>
      </c>
      <c r="G51" s="3">
        <f t="shared" si="5"/>
        <v>10.825519585085926</v>
      </c>
      <c r="H51" s="40">
        <f>B51-D51</f>
        <v>3659.3</v>
      </c>
      <c r="I51" s="40">
        <f t="shared" si="6"/>
        <v>33115.3</v>
      </c>
      <c r="J51" s="159"/>
      <c r="K51" s="156"/>
    </row>
    <row r="52" spans="1:11" s="93" customFormat="1" ht="18">
      <c r="A52" s="103" t="s">
        <v>3</v>
      </c>
      <c r="B52" s="128">
        <v>4489.3</v>
      </c>
      <c r="C52" s="129">
        <v>20097.4</v>
      </c>
      <c r="D52" s="105">
        <f>632.9+34.3+767.3+737.6+710.6</f>
        <v>2882.7</v>
      </c>
      <c r="E52" s="107">
        <f>D52/D51*100</f>
        <v>71.70717146339643</v>
      </c>
      <c r="F52" s="107">
        <f t="shared" si="7"/>
        <v>64.21268349185841</v>
      </c>
      <c r="G52" s="107">
        <f t="shared" si="5"/>
        <v>14.343646441828295</v>
      </c>
      <c r="H52" s="105">
        <f t="shared" si="8"/>
        <v>1606.6000000000004</v>
      </c>
      <c r="I52" s="105">
        <f t="shared" si="6"/>
        <v>17214.7</v>
      </c>
      <c r="J52" s="159"/>
      <c r="K52" s="156"/>
    </row>
    <row r="53" spans="1:11" s="93" customFormat="1" ht="18">
      <c r="A53" s="103" t="s">
        <v>2</v>
      </c>
      <c r="B53" s="128">
        <v>0</v>
      </c>
      <c r="C53" s="129">
        <v>13.9</v>
      </c>
      <c r="D53" s="105"/>
      <c r="E53" s="107">
        <f>D53/D51*100</f>
        <v>0</v>
      </c>
      <c r="F53" s="107" t="e">
        <f>D53/B53*100</f>
        <v>#DIV/0!</v>
      </c>
      <c r="G53" s="107">
        <f t="shared" si="5"/>
        <v>0</v>
      </c>
      <c r="H53" s="105">
        <f t="shared" si="8"/>
        <v>0</v>
      </c>
      <c r="I53" s="105">
        <f t="shared" si="6"/>
        <v>13.9</v>
      </c>
      <c r="J53" s="159"/>
      <c r="K53" s="156"/>
    </row>
    <row r="54" spans="1:11" s="93" customFormat="1" ht="18">
      <c r="A54" s="103" t="s">
        <v>1</v>
      </c>
      <c r="B54" s="128">
        <v>175.2</v>
      </c>
      <c r="C54" s="129">
        <v>993.6</v>
      </c>
      <c r="D54" s="105">
        <f>0.2+4.2+9+4.7+9.6+6.3</f>
        <v>34</v>
      </c>
      <c r="E54" s="107">
        <f>D54/D51*100</f>
        <v>0.8457501057187634</v>
      </c>
      <c r="F54" s="107">
        <f t="shared" si="7"/>
        <v>19.40639269406393</v>
      </c>
      <c r="G54" s="107">
        <f t="shared" si="5"/>
        <v>3.421900161030596</v>
      </c>
      <c r="H54" s="105">
        <f t="shared" si="8"/>
        <v>141.2</v>
      </c>
      <c r="I54" s="105">
        <f t="shared" si="6"/>
        <v>959.6</v>
      </c>
      <c r="J54" s="159"/>
      <c r="K54" s="156"/>
    </row>
    <row r="55" spans="1:11" s="93" customFormat="1" ht="18">
      <c r="A55" s="103" t="s">
        <v>0</v>
      </c>
      <c r="B55" s="128">
        <v>343.9</v>
      </c>
      <c r="C55" s="129">
        <v>1219.9</v>
      </c>
      <c r="D55" s="105">
        <f>0.5+1+2.8+12.3+8.3+0.5+0.4+8.7+15+0.3</f>
        <v>49.8</v>
      </c>
      <c r="E55" s="107">
        <f>D55/D51*100</f>
        <v>1.2387751548468944</v>
      </c>
      <c r="F55" s="107">
        <f t="shared" si="7"/>
        <v>14.480953765629542</v>
      </c>
      <c r="G55" s="107">
        <f t="shared" si="5"/>
        <v>4.082301828018689</v>
      </c>
      <c r="H55" s="105">
        <f t="shared" si="8"/>
        <v>294.09999999999997</v>
      </c>
      <c r="I55" s="105">
        <f t="shared" si="6"/>
        <v>1170.1000000000001</v>
      </c>
      <c r="J55" s="159"/>
      <c r="K55" s="156"/>
    </row>
    <row r="56" spans="1:11" s="93" customFormat="1" ht="18">
      <c r="A56" s="103" t="s">
        <v>14</v>
      </c>
      <c r="B56" s="128">
        <v>330</v>
      </c>
      <c r="C56" s="129">
        <v>13200</v>
      </c>
      <c r="D56" s="129">
        <f>110+110</f>
        <v>220</v>
      </c>
      <c r="E56" s="107">
        <f>D56/D51*100</f>
        <v>5.472500684062586</v>
      </c>
      <c r="F56" s="107">
        <f>D56/B56*100</f>
        <v>66.66666666666666</v>
      </c>
      <c r="G56" s="107">
        <f>D56/C56*100</f>
        <v>1.6666666666666667</v>
      </c>
      <c r="H56" s="105">
        <f t="shared" si="8"/>
        <v>110</v>
      </c>
      <c r="I56" s="105">
        <f t="shared" si="6"/>
        <v>12980</v>
      </c>
      <c r="J56" s="159"/>
      <c r="K56" s="156"/>
    </row>
    <row r="57" spans="1:11" s="93" customFormat="1" ht="18.75" thickBot="1">
      <c r="A57" s="103" t="s">
        <v>27</v>
      </c>
      <c r="B57" s="129">
        <f>B51-B52-B55-B54-B53-B56</f>
        <v>2340.9999999999995</v>
      </c>
      <c r="C57" s="129">
        <f>C51-C52-C55-C54-C53-C56</f>
        <v>1610.6000000000004</v>
      </c>
      <c r="D57" s="129">
        <f>D51-D52-D55-D54-D53-D56</f>
        <v>833.5999999999997</v>
      </c>
      <c r="E57" s="107">
        <f>D57/D51*100</f>
        <v>20.735802591975318</v>
      </c>
      <c r="F57" s="107">
        <f t="shared" si="7"/>
        <v>35.608714224690296</v>
      </c>
      <c r="G57" s="107">
        <f t="shared" si="5"/>
        <v>51.75710915186884</v>
      </c>
      <c r="H57" s="105">
        <f>B57-D57</f>
        <v>1507.3999999999999</v>
      </c>
      <c r="I57" s="105">
        <f>C57-D57</f>
        <v>777.0000000000007</v>
      </c>
      <c r="J57" s="159"/>
      <c r="K57" s="156"/>
    </row>
    <row r="58" spans="1:11" s="32" customFormat="1" ht="18.7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160"/>
      <c r="K58" s="156">
        <f>C58-B58</f>
        <v>0</v>
      </c>
    </row>
    <row r="59" spans="1:11" ht="18.75" thickBot="1">
      <c r="A59" s="20" t="s">
        <v>6</v>
      </c>
      <c r="B59" s="38">
        <v>972.7</v>
      </c>
      <c r="C59" s="39">
        <v>9264.2</v>
      </c>
      <c r="D59" s="40">
        <f>87.7+79.1+87.8+43.2+40.5+47.6+13+155.9+18</f>
        <v>572.8000000000001</v>
      </c>
      <c r="E59" s="3">
        <f>D59/D152*100</f>
        <v>0.24195759236988768</v>
      </c>
      <c r="F59" s="3">
        <f>D59/B59*100</f>
        <v>58.88763236352421</v>
      </c>
      <c r="G59" s="3">
        <f t="shared" si="5"/>
        <v>6.182940782798299</v>
      </c>
      <c r="H59" s="40">
        <f>B59-D59</f>
        <v>399.9</v>
      </c>
      <c r="I59" s="40">
        <f t="shared" si="6"/>
        <v>8691.400000000001</v>
      </c>
      <c r="J59" s="159"/>
      <c r="K59" s="156"/>
    </row>
    <row r="60" spans="1:11" s="93" customFormat="1" ht="18">
      <c r="A60" s="103" t="s">
        <v>3</v>
      </c>
      <c r="B60" s="128">
        <v>747.3</v>
      </c>
      <c r="C60" s="129">
        <v>3119.7</v>
      </c>
      <c r="D60" s="105">
        <f>77.7+79.1+76.9+40.5+47.3+155.9</f>
        <v>477.4000000000001</v>
      </c>
      <c r="E60" s="107">
        <f>D60/D59*100</f>
        <v>83.34497206703911</v>
      </c>
      <c r="F60" s="107">
        <f t="shared" si="7"/>
        <v>63.88331326107321</v>
      </c>
      <c r="G60" s="107">
        <f t="shared" si="5"/>
        <v>15.302753469884928</v>
      </c>
      <c r="H60" s="105">
        <f t="shared" si="8"/>
        <v>269.89999999999986</v>
      </c>
      <c r="I60" s="105">
        <f t="shared" si="6"/>
        <v>2642.2999999999997</v>
      </c>
      <c r="J60" s="159"/>
      <c r="K60" s="156"/>
    </row>
    <row r="61" spans="1:11" s="93" customFormat="1" ht="18">
      <c r="A61" s="103" t="s">
        <v>1</v>
      </c>
      <c r="B61" s="128">
        <v>0</v>
      </c>
      <c r="C61" s="129">
        <v>360.7</v>
      </c>
      <c r="D61" s="105"/>
      <c r="E61" s="107">
        <f>D61/D59*100</f>
        <v>0</v>
      </c>
      <c r="F61" s="107" t="e">
        <f>D61/B61*100</f>
        <v>#DIV/0!</v>
      </c>
      <c r="G61" s="107">
        <f t="shared" si="5"/>
        <v>0</v>
      </c>
      <c r="H61" s="105">
        <f t="shared" si="8"/>
        <v>0</v>
      </c>
      <c r="I61" s="105">
        <f t="shared" si="6"/>
        <v>360.7</v>
      </c>
      <c r="J61" s="159"/>
      <c r="K61" s="156"/>
    </row>
    <row r="62" spans="1:11" s="93" customFormat="1" ht="18">
      <c r="A62" s="103" t="s">
        <v>0</v>
      </c>
      <c r="B62" s="128">
        <v>153.9</v>
      </c>
      <c r="C62" s="129">
        <v>393.7</v>
      </c>
      <c r="D62" s="105">
        <f>10.9+43.2+13-3</f>
        <v>64.1</v>
      </c>
      <c r="E62" s="107">
        <f>D62/D59*100</f>
        <v>11.190642458100557</v>
      </c>
      <c r="F62" s="107">
        <f t="shared" si="7"/>
        <v>41.65042235217673</v>
      </c>
      <c r="G62" s="107">
        <f t="shared" si="5"/>
        <v>16.281432562865124</v>
      </c>
      <c r="H62" s="105">
        <f t="shared" si="8"/>
        <v>89.80000000000001</v>
      </c>
      <c r="I62" s="105">
        <f t="shared" si="6"/>
        <v>329.6</v>
      </c>
      <c r="J62" s="159"/>
      <c r="K62" s="156"/>
    </row>
    <row r="63" spans="1:11" s="93" customFormat="1" ht="18">
      <c r="A63" s="103" t="s">
        <v>14</v>
      </c>
      <c r="B63" s="128">
        <v>0</v>
      </c>
      <c r="C63" s="129">
        <v>4866.6</v>
      </c>
      <c r="D63" s="105"/>
      <c r="E63" s="107">
        <f>D63/D59*100</f>
        <v>0</v>
      </c>
      <c r="F63" s="107" t="e">
        <f t="shared" si="7"/>
        <v>#DIV/0!</v>
      </c>
      <c r="G63" s="107">
        <f t="shared" si="5"/>
        <v>0</v>
      </c>
      <c r="H63" s="105">
        <f t="shared" si="8"/>
        <v>0</v>
      </c>
      <c r="I63" s="105">
        <f t="shared" si="6"/>
        <v>4866.6</v>
      </c>
      <c r="J63" s="159"/>
      <c r="K63" s="156"/>
    </row>
    <row r="64" spans="1:11" s="93" customFormat="1" ht="18.75" thickBot="1">
      <c r="A64" s="103" t="s">
        <v>27</v>
      </c>
      <c r="B64" s="129">
        <f>B59-B60-B62-B63-B61</f>
        <v>71.50000000000009</v>
      </c>
      <c r="C64" s="129">
        <f>C59-C60-C62-C63-C61</f>
        <v>523.5000000000007</v>
      </c>
      <c r="D64" s="129">
        <f>D59-D60-D62-D63-D61</f>
        <v>31.299999999999983</v>
      </c>
      <c r="E64" s="107">
        <f>D64/D59*100</f>
        <v>5.4643854748603315</v>
      </c>
      <c r="F64" s="107">
        <f t="shared" si="7"/>
        <v>43.7762237762237</v>
      </c>
      <c r="G64" s="107">
        <f t="shared" si="5"/>
        <v>5.9789875835721</v>
      </c>
      <c r="H64" s="105">
        <f t="shared" si="8"/>
        <v>40.2000000000001</v>
      </c>
      <c r="I64" s="105">
        <f t="shared" si="6"/>
        <v>492.2000000000007</v>
      </c>
      <c r="J64" s="159"/>
      <c r="K64" s="156"/>
    </row>
    <row r="65" spans="1:11" s="32" customFormat="1" ht="18.7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160"/>
      <c r="K65" s="156">
        <f>C65-B65</f>
        <v>0</v>
      </c>
    </row>
    <row r="66" spans="1:11" s="32" customFormat="1" ht="18.7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160"/>
      <c r="K66" s="156">
        <f>C66-B66</f>
        <v>0</v>
      </c>
    </row>
    <row r="67" spans="1:11" s="32" customFormat="1" ht="18.7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160"/>
      <c r="K67" s="156">
        <f>C67-B67</f>
        <v>0</v>
      </c>
    </row>
    <row r="68" spans="1:11" s="32" customFormat="1" ht="18.7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160"/>
      <c r="K68" s="156">
        <f>C68-B68</f>
        <v>0</v>
      </c>
    </row>
    <row r="69" spans="1:11" ht="18.75" thickBot="1">
      <c r="A69" s="20" t="s">
        <v>20</v>
      </c>
      <c r="B69" s="39">
        <f>B70+B71</f>
        <v>243.5</v>
      </c>
      <c r="C69" s="39">
        <f>C70+C71</f>
        <v>585.9000000000001</v>
      </c>
      <c r="D69" s="40">
        <f>D70+D71</f>
        <v>0</v>
      </c>
      <c r="E69" s="30">
        <f>D69/D152*100</f>
        <v>0</v>
      </c>
      <c r="F69" s="3">
        <f>D69/B69*100</f>
        <v>0</v>
      </c>
      <c r="G69" s="3">
        <f t="shared" si="5"/>
        <v>0</v>
      </c>
      <c r="H69" s="40">
        <f>B69-D69</f>
        <v>243.5</v>
      </c>
      <c r="I69" s="40">
        <f t="shared" si="6"/>
        <v>585.9000000000001</v>
      </c>
      <c r="J69" s="159"/>
      <c r="K69" s="156"/>
    </row>
    <row r="70" spans="1:11" s="93" customFormat="1" ht="18">
      <c r="A70" s="103" t="s">
        <v>8</v>
      </c>
      <c r="B70" s="171">
        <v>169.5</v>
      </c>
      <c r="C70" s="172">
        <v>219.5</v>
      </c>
      <c r="D70" s="105"/>
      <c r="E70" s="107" t="e">
        <f>D70/D69*100</f>
        <v>#DIV/0!</v>
      </c>
      <c r="F70" s="107">
        <f t="shared" si="7"/>
        <v>0</v>
      </c>
      <c r="G70" s="107">
        <f t="shared" si="5"/>
        <v>0</v>
      </c>
      <c r="H70" s="105">
        <f t="shared" si="8"/>
        <v>169.5</v>
      </c>
      <c r="I70" s="105">
        <f t="shared" si="6"/>
        <v>219.5</v>
      </c>
      <c r="J70" s="159"/>
      <c r="K70" s="156"/>
    </row>
    <row r="71" spans="1:11" s="93" customFormat="1" ht="18.75" thickBot="1">
      <c r="A71" s="103" t="s">
        <v>9</v>
      </c>
      <c r="B71" s="171">
        <v>74</v>
      </c>
      <c r="C71" s="172">
        <f>331.6+34.8</f>
        <v>366.40000000000003</v>
      </c>
      <c r="D71" s="105"/>
      <c r="E71" s="107" t="e">
        <f>D71/D70*100</f>
        <v>#DIV/0!</v>
      </c>
      <c r="F71" s="107">
        <f t="shared" si="7"/>
        <v>0</v>
      </c>
      <c r="G71" s="107">
        <f t="shared" si="5"/>
        <v>0</v>
      </c>
      <c r="H71" s="105">
        <f t="shared" si="8"/>
        <v>74</v>
      </c>
      <c r="I71" s="105">
        <f t="shared" si="6"/>
        <v>366.40000000000003</v>
      </c>
      <c r="J71" s="159"/>
      <c r="K71" s="156"/>
    </row>
    <row r="72" spans="1:11" ht="36.7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D72/D152*100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159"/>
      <c r="K72" s="156"/>
    </row>
    <row r="73" spans="1:11" ht="18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159"/>
      <c r="K73" s="156"/>
    </row>
    <row r="74" spans="1:11" ht="18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159"/>
      <c r="K74" s="156"/>
    </row>
    <row r="75" spans="1:11" ht="18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159"/>
      <c r="K75" s="156"/>
    </row>
    <row r="76" spans="1:11" ht="18.7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159"/>
      <c r="K76" s="156"/>
    </row>
    <row r="77" spans="1:11" s="32" customFormat="1" ht="18.75" thickBot="1">
      <c r="A77" s="23" t="s">
        <v>13</v>
      </c>
      <c r="B77" s="46">
        <v>4250</v>
      </c>
      <c r="C77" s="53">
        <v>17000</v>
      </c>
      <c r="D77" s="54"/>
      <c r="E77" s="34"/>
      <c r="F77" s="34"/>
      <c r="G77" s="34"/>
      <c r="H77" s="54">
        <f>B77-D77</f>
        <v>4250</v>
      </c>
      <c r="I77" s="54">
        <f t="shared" si="6"/>
        <v>17000</v>
      </c>
      <c r="J77" s="160"/>
      <c r="K77" s="156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159"/>
      <c r="K78" s="156"/>
    </row>
    <row r="79" spans="1:11" ht="18.75" customHeight="1" hidden="1" thickBot="1">
      <c r="A79" s="12" t="s">
        <v>56</v>
      </c>
      <c r="B79" s="45"/>
      <c r="C79" s="39"/>
      <c r="D79" s="39"/>
      <c r="E79" s="3">
        <f>D79/D152*100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159"/>
      <c r="K79" s="156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61"/>
      <c r="K80" s="156"/>
    </row>
    <row r="81" spans="1:11" s="8" customFormat="1" ht="32.2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61"/>
      <c r="K81" s="156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61"/>
      <c r="K82" s="156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61"/>
      <c r="K83" s="156"/>
    </row>
    <row r="84" spans="1:11" ht="35.25" customHeight="1" hidden="1" thickBot="1">
      <c r="A84" s="12" t="s">
        <v>35</v>
      </c>
      <c r="B84" s="45"/>
      <c r="C84" s="39"/>
      <c r="D84" s="39"/>
      <c r="E84" s="3">
        <f>D84/D152*100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159"/>
      <c r="K84" s="156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159"/>
      <c r="K85" s="156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159"/>
      <c r="K86" s="156"/>
    </row>
    <row r="87" spans="1:11" ht="34.5" customHeight="1" hidden="1" thickBot="1">
      <c r="A87" s="12" t="s">
        <v>36</v>
      </c>
      <c r="B87" s="45"/>
      <c r="C87" s="39"/>
      <c r="D87" s="39"/>
      <c r="E87" s="3">
        <f>D87/D152*100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159"/>
      <c r="K87" s="156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159"/>
      <c r="K88" s="156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159"/>
      <c r="K89" s="156"/>
    </row>
    <row r="90" spans="1:11" ht="18.75" thickBot="1">
      <c r="A90" s="12" t="s">
        <v>10</v>
      </c>
      <c r="B90" s="45">
        <v>51010.8</v>
      </c>
      <c r="C90" s="39">
        <v>200580.6</v>
      </c>
      <c r="D90" s="40">
        <f>3076.1+1190.1+85.4+19.6+5.2+812.5+1196.5+4.7+5442.2+898.8+0.6+38.7+164.7+18.3+70.9+29.7+34.8+531.6+4509.6+56.1+8.5+41+4+52+75.9+988.9+757.7+5366.6+3416.7+74.9+86.9</f>
        <v>29059.200000000008</v>
      </c>
      <c r="E90" s="3">
        <f>D90/D152*100</f>
        <v>12.274954727994135</v>
      </c>
      <c r="F90" s="3">
        <f aca="true" t="shared" si="11" ref="F90:F96">D90/B90*100</f>
        <v>56.96675998023949</v>
      </c>
      <c r="G90" s="3">
        <f t="shared" si="9"/>
        <v>14.487542663647435</v>
      </c>
      <c r="H90" s="40">
        <f aca="true" t="shared" si="12" ref="H90:H96">B90-D90</f>
        <v>21951.599999999995</v>
      </c>
      <c r="I90" s="40">
        <f t="shared" si="10"/>
        <v>171521.4</v>
      </c>
      <c r="J90" s="159"/>
      <c r="K90" s="156"/>
    </row>
    <row r="91" spans="1:11" s="93" customFormat="1" ht="18">
      <c r="A91" s="103" t="s">
        <v>3</v>
      </c>
      <c r="B91" s="128">
        <f>47976.6</f>
        <v>47976.6</v>
      </c>
      <c r="C91" s="129">
        <v>190000</v>
      </c>
      <c r="D91" s="105">
        <f>3071.3+1190.01+77.9+810.1+1179.1+5434.9+841.3+37+143.9+8.8+37.8+16.1+28.3+518.4+4342.6+40+45.8+973+734.6+5248.7+3382.5+46.45+6.22</f>
        <v>28214.779999999995</v>
      </c>
      <c r="E91" s="107">
        <f>D91/D90*100</f>
        <v>97.09413886135884</v>
      </c>
      <c r="F91" s="107">
        <f t="shared" si="11"/>
        <v>58.809461279040185</v>
      </c>
      <c r="G91" s="107">
        <f t="shared" si="9"/>
        <v>14.849884210526312</v>
      </c>
      <c r="H91" s="105">
        <f t="shared" si="12"/>
        <v>19761.820000000003</v>
      </c>
      <c r="I91" s="105">
        <f t="shared" si="10"/>
        <v>161785.22</v>
      </c>
      <c r="J91" s="159"/>
      <c r="K91" s="156"/>
    </row>
    <row r="92" spans="1:11" s="93" customFormat="1" ht="18">
      <c r="A92" s="103" t="s">
        <v>25</v>
      </c>
      <c r="B92" s="128">
        <v>1089.3</v>
      </c>
      <c r="C92" s="129">
        <v>2776.4</v>
      </c>
      <c r="D92" s="105">
        <f>57.2+3.4+167+1.4+0.3+83.4+86.9</f>
        <v>399.6</v>
      </c>
      <c r="E92" s="107">
        <f>D92/D90*100</f>
        <v>1.3751238850346876</v>
      </c>
      <c r="F92" s="107">
        <f t="shared" si="11"/>
        <v>36.68410906086478</v>
      </c>
      <c r="G92" s="107">
        <f t="shared" si="9"/>
        <v>14.39273879844403</v>
      </c>
      <c r="H92" s="105">
        <f t="shared" si="12"/>
        <v>689.6999999999999</v>
      </c>
      <c r="I92" s="105">
        <f t="shared" si="10"/>
        <v>2376.8</v>
      </c>
      <c r="J92" s="159"/>
      <c r="K92" s="156"/>
    </row>
    <row r="93" spans="1:11" s="93" customFormat="1" ht="18" hidden="1">
      <c r="A93" s="103" t="s">
        <v>14</v>
      </c>
      <c r="B93" s="128"/>
      <c r="C93" s="129"/>
      <c r="D93" s="129"/>
      <c r="E93" s="130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J93" s="159"/>
      <c r="K93" s="156">
        <f aca="true" t="shared" si="13" ref="K93:K101">C93-B93</f>
        <v>0</v>
      </c>
    </row>
    <row r="94" spans="1:11" s="93" customFormat="1" ht="18.75" thickBot="1">
      <c r="A94" s="103" t="s">
        <v>27</v>
      </c>
      <c r="B94" s="129">
        <f>B90-B91-B92-B93</f>
        <v>1944.9000000000044</v>
      </c>
      <c r="C94" s="129">
        <f>C90-C91-C92-C93</f>
        <v>7804.200000000006</v>
      </c>
      <c r="D94" s="129">
        <f>D90-D91-D92-D93</f>
        <v>444.8200000000128</v>
      </c>
      <c r="E94" s="107">
        <f>D94/D90*100</f>
        <v>1.5307372536064745</v>
      </c>
      <c r="F94" s="107">
        <f t="shared" si="11"/>
        <v>22.87109877114565</v>
      </c>
      <c r="G94" s="107">
        <f>D94/C94*100</f>
        <v>5.699751415904416</v>
      </c>
      <c r="H94" s="105">
        <f t="shared" si="12"/>
        <v>1500.0799999999917</v>
      </c>
      <c r="I94" s="105">
        <f>C94-D94</f>
        <v>7359.379999999994</v>
      </c>
      <c r="J94" s="159"/>
      <c r="K94" s="156"/>
    </row>
    <row r="95" spans="1:11" ht="18">
      <c r="A95" s="82" t="s">
        <v>12</v>
      </c>
      <c r="B95" s="91">
        <v>11463.9</v>
      </c>
      <c r="C95" s="85">
        <v>46414.5</v>
      </c>
      <c r="D95" s="84">
        <f>627.6+194.6+194.6+1234+510.7+28.2+0.5+182.1+337.6+34.8+102.9+588.2</f>
        <v>4035.8</v>
      </c>
      <c r="E95" s="81">
        <f>D95/D152*100</f>
        <v>1.704770340932948</v>
      </c>
      <c r="F95" s="83">
        <f t="shared" si="11"/>
        <v>35.20442432331057</v>
      </c>
      <c r="G95" s="80">
        <f>D95/C95*100</f>
        <v>8.695127600211142</v>
      </c>
      <c r="H95" s="84">
        <f t="shared" si="12"/>
        <v>7428.099999999999</v>
      </c>
      <c r="I95" s="87">
        <f>C95-D95</f>
        <v>42378.7</v>
      </c>
      <c r="J95" s="159"/>
      <c r="K95" s="156"/>
    </row>
    <row r="96" spans="1:11" s="93" customFormat="1" ht="18.75" thickBot="1">
      <c r="A96" s="131" t="s">
        <v>83</v>
      </c>
      <c r="B96" s="132">
        <v>3838.6</v>
      </c>
      <c r="C96" s="133">
        <v>12814.2</v>
      </c>
      <c r="D96" s="134">
        <f>194.6+1234+3.4+0.5+79.6</f>
        <v>1512.1</v>
      </c>
      <c r="E96" s="135">
        <f>D96/D95*100</f>
        <v>37.467168838891915</v>
      </c>
      <c r="F96" s="136">
        <f t="shared" si="11"/>
        <v>39.391965820872194</v>
      </c>
      <c r="G96" s="137">
        <f>D96/C96*100</f>
        <v>11.800190413759735</v>
      </c>
      <c r="H96" s="138">
        <f t="shared" si="12"/>
        <v>2326.5</v>
      </c>
      <c r="I96" s="127">
        <f>C96-D96</f>
        <v>11302.1</v>
      </c>
      <c r="J96" s="159"/>
      <c r="K96" s="156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159"/>
      <c r="K97" s="156"/>
    </row>
    <row r="98" spans="1:11" ht="18.75" hidden="1" thickBot="1">
      <c r="A98" s="25" t="s">
        <v>37</v>
      </c>
      <c r="B98" s="59"/>
      <c r="C98" s="60"/>
      <c r="D98" s="61"/>
      <c r="E98" s="3">
        <f>D98/D152*100</f>
        <v>0</v>
      </c>
      <c r="F98" s="3"/>
      <c r="G98" s="3" t="e">
        <f>D98/C98*100</f>
        <v>#DIV/0!</v>
      </c>
      <c r="H98" s="40"/>
      <c r="I98" s="40">
        <f>C98-D98</f>
        <v>0</v>
      </c>
      <c r="J98" s="159"/>
      <c r="K98" s="156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159"/>
      <c r="K99" s="156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D100/D152*100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62"/>
      <c r="K100" s="156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159"/>
      <c r="K101" s="156">
        <f t="shared" si="13"/>
        <v>0</v>
      </c>
    </row>
    <row r="102" spans="1:11" s="32" customFormat="1" ht="18.75" thickBot="1">
      <c r="A102" s="12" t="s">
        <v>11</v>
      </c>
      <c r="B102" s="90">
        <v>2832.4</v>
      </c>
      <c r="C102" s="70">
        <v>11266.5</v>
      </c>
      <c r="D102" s="65">
        <f>144.5+120.5+0.1+30.9+51.6+143.8+13.5+25.2+149.6+13.2</f>
        <v>692.9000000000001</v>
      </c>
      <c r="E102" s="17">
        <f>D102/D152*100</f>
        <v>0.2926892733119678</v>
      </c>
      <c r="F102" s="17">
        <f>D102/B102*100</f>
        <v>24.463352633808785</v>
      </c>
      <c r="G102" s="17">
        <f aca="true" t="shared" si="14" ref="G102:G150">D102/C102*100</f>
        <v>6.150090977677185</v>
      </c>
      <c r="H102" s="65">
        <f aca="true" t="shared" si="15" ref="H102:H107">B102-D102</f>
        <v>2139.5</v>
      </c>
      <c r="I102" s="65">
        <f aca="true" t="shared" si="16" ref="I102:I150">C102-D102</f>
        <v>10573.6</v>
      </c>
      <c r="J102" s="160"/>
      <c r="K102" s="156"/>
    </row>
    <row r="103" spans="1:11" s="93" customFormat="1" ht="18.75" customHeight="1">
      <c r="A103" s="103" t="s">
        <v>3</v>
      </c>
      <c r="B103" s="120">
        <v>36.4</v>
      </c>
      <c r="C103" s="121">
        <v>363.8</v>
      </c>
      <c r="D103" s="121"/>
      <c r="E103" s="122">
        <f>D103/D102*100</f>
        <v>0</v>
      </c>
      <c r="F103" s="107">
        <f>D103/B103*100</f>
        <v>0</v>
      </c>
      <c r="G103" s="122">
        <f>D103/C103*100</f>
        <v>0</v>
      </c>
      <c r="H103" s="121">
        <f t="shared" si="15"/>
        <v>36.4</v>
      </c>
      <c r="I103" s="121">
        <f t="shared" si="16"/>
        <v>363.8</v>
      </c>
      <c r="J103" s="159"/>
      <c r="K103" s="156"/>
    </row>
    <row r="104" spans="1:11" s="93" customFormat="1" ht="18">
      <c r="A104" s="123" t="s">
        <v>48</v>
      </c>
      <c r="B104" s="104">
        <v>2487.3</v>
      </c>
      <c r="C104" s="105">
        <v>8949.2</v>
      </c>
      <c r="D104" s="105">
        <f>144.4+120.5+0.1+30.9+51.6+143.7+13.5+25.2+149.6+13.2</f>
        <v>692.7</v>
      </c>
      <c r="E104" s="107">
        <f>D104/D102*100</f>
        <v>99.9711358060326</v>
      </c>
      <c r="F104" s="107">
        <f aca="true" t="shared" si="17" ref="F104:F150">D104/B104*100</f>
        <v>27.84947533470028</v>
      </c>
      <c r="G104" s="107">
        <f t="shared" si="14"/>
        <v>7.740356679926698</v>
      </c>
      <c r="H104" s="105">
        <f t="shared" si="15"/>
        <v>1794.6000000000001</v>
      </c>
      <c r="I104" s="105">
        <f t="shared" si="16"/>
        <v>8256.5</v>
      </c>
      <c r="J104" s="159"/>
      <c r="K104" s="156"/>
    </row>
    <row r="105" spans="1:11" s="93" customFormat="1" ht="55.5" hidden="1" thickBot="1">
      <c r="A105" s="124" t="s">
        <v>79</v>
      </c>
      <c r="B105" s="125"/>
      <c r="C105" s="125"/>
      <c r="D105" s="125"/>
      <c r="E105" s="126">
        <f>D105/D102*100</f>
        <v>0</v>
      </c>
      <c r="F105" s="126" t="e">
        <f>D105/B105*100</f>
        <v>#DIV/0!</v>
      </c>
      <c r="G105" s="126" t="e">
        <f>D105/C105*100</f>
        <v>#DIV/0!</v>
      </c>
      <c r="H105" s="127">
        <f t="shared" si="15"/>
        <v>0</v>
      </c>
      <c r="I105" s="127">
        <f>C105-D105</f>
        <v>0</v>
      </c>
      <c r="J105" s="159"/>
      <c r="K105" s="156"/>
    </row>
    <row r="106" spans="1:11" s="93" customFormat="1" ht="18.75" thickBot="1">
      <c r="A106" s="124" t="s">
        <v>27</v>
      </c>
      <c r="B106" s="125">
        <f>B102-B103-B104</f>
        <v>308.6999999999998</v>
      </c>
      <c r="C106" s="125">
        <f>C102-C103-C104</f>
        <v>1953.5</v>
      </c>
      <c r="D106" s="125">
        <f>D102-D103-D104</f>
        <v>0.20000000000004547</v>
      </c>
      <c r="E106" s="126">
        <f>D106/D102*100</f>
        <v>0.02886419396739002</v>
      </c>
      <c r="F106" s="126">
        <f t="shared" si="17"/>
        <v>0.06478781988987548</v>
      </c>
      <c r="G106" s="126">
        <f t="shared" si="14"/>
        <v>0.010238034297417225</v>
      </c>
      <c r="H106" s="127">
        <f>B106-D106</f>
        <v>308.4999999999998</v>
      </c>
      <c r="I106" s="127">
        <f t="shared" si="16"/>
        <v>1953.3</v>
      </c>
      <c r="J106" s="159"/>
      <c r="K106" s="156"/>
    </row>
    <row r="107" spans="1:12" s="2" customFormat="1" ht="26.25" customHeight="1" thickBot="1">
      <c r="A107" s="66" t="s">
        <v>28</v>
      </c>
      <c r="B107" s="67">
        <f>SUM(B108:B149)-B115-B119+B150-B140-B141-B109-B112-B122-B123-B138-B131-B129-B136</f>
        <v>72429.4</v>
      </c>
      <c r="C107" s="67">
        <f>SUM(C108:C149)-C115-C119+C150-C140-C141-C109-C112-C122-C123-C138-C131-C129-C136</f>
        <v>490507.9</v>
      </c>
      <c r="D107" s="67">
        <f>SUM(D108:D149)-D115-D119+D150-D140-D141-D109-D112-D122-D123-D138-D131-D129-D136</f>
        <v>18443.800000000003</v>
      </c>
      <c r="E107" s="68">
        <f>D107/D152*100</f>
        <v>7.790882405991156</v>
      </c>
      <c r="F107" s="68">
        <f>D107/B107*100</f>
        <v>25.464521313168415</v>
      </c>
      <c r="G107" s="68">
        <f t="shared" si="14"/>
        <v>3.760143312676514</v>
      </c>
      <c r="H107" s="67">
        <f t="shared" si="15"/>
        <v>53985.59999999999</v>
      </c>
      <c r="I107" s="67">
        <f t="shared" si="16"/>
        <v>472064.10000000003</v>
      </c>
      <c r="J107" s="158"/>
      <c r="K107" s="156"/>
      <c r="L107" s="96"/>
    </row>
    <row r="108" spans="1:12" s="93" customFormat="1" ht="36.75">
      <c r="A108" s="97" t="s">
        <v>52</v>
      </c>
      <c r="B108" s="98">
        <f>679.7+533</f>
        <v>1212.7</v>
      </c>
      <c r="C108" s="165">
        <v>4459</v>
      </c>
      <c r="D108" s="99">
        <f>17.1+81.1+17.3+60.5+173.3+3.4+2+0.4+29.3+1.7</f>
        <v>386.09999999999997</v>
      </c>
      <c r="E108" s="100">
        <f>D108/D107*100</f>
        <v>2.0933863954282734</v>
      </c>
      <c r="F108" s="100">
        <f t="shared" si="17"/>
        <v>31.838047332398776</v>
      </c>
      <c r="G108" s="100">
        <f t="shared" si="14"/>
        <v>8.658892128279883</v>
      </c>
      <c r="H108" s="101">
        <f aca="true" t="shared" si="18" ref="H108:H150">B108-D108</f>
        <v>826.6000000000001</v>
      </c>
      <c r="I108" s="101">
        <f t="shared" si="16"/>
        <v>4072.9</v>
      </c>
      <c r="J108" s="159"/>
      <c r="K108" s="156"/>
      <c r="L108" s="102"/>
    </row>
    <row r="109" spans="1:12" s="93" customFormat="1" ht="18">
      <c r="A109" s="103" t="s">
        <v>25</v>
      </c>
      <c r="B109" s="104">
        <f>289.6+204.8+5.2+74.7</f>
        <v>574.3000000000001</v>
      </c>
      <c r="C109" s="166">
        <v>1995</v>
      </c>
      <c r="D109" s="106">
        <f>47.8+0.9+59.7+88.3+0.1</f>
        <v>196.79999999999998</v>
      </c>
      <c r="E109" s="107">
        <f>D109/D108*100</f>
        <v>50.97125097125097</v>
      </c>
      <c r="F109" s="107">
        <f t="shared" si="17"/>
        <v>34.26780428347553</v>
      </c>
      <c r="G109" s="107">
        <f t="shared" si="14"/>
        <v>9.864661654135338</v>
      </c>
      <c r="H109" s="105">
        <f t="shared" si="18"/>
        <v>377.5000000000001</v>
      </c>
      <c r="I109" s="105">
        <f t="shared" si="16"/>
        <v>1798.2</v>
      </c>
      <c r="J109" s="159"/>
      <c r="K109" s="156"/>
      <c r="L109" s="102"/>
    </row>
    <row r="110" spans="1:12" s="93" customFormat="1" ht="34.5" customHeight="1" hidden="1">
      <c r="A110" s="108" t="s">
        <v>78</v>
      </c>
      <c r="B110" s="109"/>
      <c r="C110" s="167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J110" s="159"/>
      <c r="K110" s="156"/>
      <c r="L110" s="102"/>
    </row>
    <row r="111" spans="1:12" s="94" customFormat="1" ht="34.5" customHeight="1">
      <c r="A111" s="108" t="s">
        <v>93</v>
      </c>
      <c r="B111" s="109">
        <v>14.9</v>
      </c>
      <c r="C111" s="168">
        <v>200</v>
      </c>
      <c r="D111" s="111"/>
      <c r="E111" s="100">
        <f>D111/D107*100</f>
        <v>0</v>
      </c>
      <c r="F111" s="112">
        <f t="shared" si="17"/>
        <v>0</v>
      </c>
      <c r="G111" s="100">
        <f t="shared" si="14"/>
        <v>0</v>
      </c>
      <c r="H111" s="101">
        <f t="shared" si="18"/>
        <v>14.9</v>
      </c>
      <c r="I111" s="101">
        <f t="shared" si="16"/>
        <v>200</v>
      </c>
      <c r="J111" s="160"/>
      <c r="K111" s="156"/>
      <c r="L111" s="102"/>
    </row>
    <row r="112" spans="1:12" s="93" customFormat="1" ht="18" hidden="1">
      <c r="A112" s="103" t="s">
        <v>25</v>
      </c>
      <c r="B112" s="104"/>
      <c r="C112" s="166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J112" s="159"/>
      <c r="K112" s="156"/>
      <c r="L112" s="102"/>
    </row>
    <row r="113" spans="1:12" s="93" customFormat="1" ht="18">
      <c r="A113" s="108" t="s">
        <v>89</v>
      </c>
      <c r="B113" s="109">
        <v>15</v>
      </c>
      <c r="C113" s="167">
        <v>64.3</v>
      </c>
      <c r="D113" s="99"/>
      <c r="E113" s="100">
        <f>D113/D107*100</f>
        <v>0</v>
      </c>
      <c r="F113" s="100">
        <f t="shared" si="17"/>
        <v>0</v>
      </c>
      <c r="G113" s="100">
        <f t="shared" si="14"/>
        <v>0</v>
      </c>
      <c r="H113" s="101">
        <f t="shared" si="18"/>
        <v>15</v>
      </c>
      <c r="I113" s="101">
        <f t="shared" si="16"/>
        <v>64.3</v>
      </c>
      <c r="J113" s="159"/>
      <c r="K113" s="156"/>
      <c r="L113" s="102"/>
    </row>
    <row r="114" spans="1:12" s="93" customFormat="1" ht="36.75">
      <c r="A114" s="108" t="s">
        <v>38</v>
      </c>
      <c r="B114" s="109">
        <v>842.1</v>
      </c>
      <c r="C114" s="167">
        <v>3311.5</v>
      </c>
      <c r="D114" s="99">
        <f>136.4+10+40+6.6+6.1+0.2+177.4+10</f>
        <v>386.7</v>
      </c>
      <c r="E114" s="100">
        <f>D114/D107*100</f>
        <v>2.096639521139895</v>
      </c>
      <c r="F114" s="100">
        <f t="shared" si="17"/>
        <v>45.92091200570003</v>
      </c>
      <c r="G114" s="100">
        <f t="shared" si="14"/>
        <v>11.677487543409331</v>
      </c>
      <c r="H114" s="101">
        <f t="shared" si="18"/>
        <v>455.40000000000003</v>
      </c>
      <c r="I114" s="101">
        <f t="shared" si="16"/>
        <v>2924.8</v>
      </c>
      <c r="J114" s="159"/>
      <c r="K114" s="156"/>
      <c r="L114" s="102"/>
    </row>
    <row r="115" spans="1:12" s="93" customFormat="1" ht="18" hidden="1">
      <c r="A115" s="113" t="s">
        <v>43</v>
      </c>
      <c r="B115" s="104"/>
      <c r="C115" s="166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J115" s="159"/>
      <c r="K115" s="156"/>
      <c r="L115" s="102"/>
    </row>
    <row r="116" spans="1:12" s="94" customFormat="1" ht="18.75" customHeight="1" hidden="1">
      <c r="A116" s="108" t="s">
        <v>90</v>
      </c>
      <c r="B116" s="109"/>
      <c r="C116" s="168"/>
      <c r="D116" s="111"/>
      <c r="E116" s="114">
        <f>D116/D107*100</f>
        <v>0</v>
      </c>
      <c r="F116" s="100" t="e">
        <f t="shared" si="17"/>
        <v>#DIV/0!</v>
      </c>
      <c r="G116" s="114" t="e">
        <f t="shared" si="14"/>
        <v>#DIV/0!</v>
      </c>
      <c r="H116" s="110">
        <f t="shared" si="18"/>
        <v>0</v>
      </c>
      <c r="I116" s="110">
        <f t="shared" si="16"/>
        <v>0</v>
      </c>
      <c r="J116" s="160"/>
      <c r="K116" s="156"/>
      <c r="L116" s="102"/>
    </row>
    <row r="117" spans="1:12" s="93" customFormat="1" ht="36.75">
      <c r="A117" s="108" t="s">
        <v>47</v>
      </c>
      <c r="B117" s="109">
        <v>106</v>
      </c>
      <c r="C117" s="167">
        <v>200</v>
      </c>
      <c r="D117" s="99"/>
      <c r="E117" s="100">
        <f>D117/D107*100</f>
        <v>0</v>
      </c>
      <c r="F117" s="100">
        <f>D117/B117*100</f>
        <v>0</v>
      </c>
      <c r="G117" s="100">
        <f t="shared" si="14"/>
        <v>0</v>
      </c>
      <c r="H117" s="101">
        <f t="shared" si="18"/>
        <v>106</v>
      </c>
      <c r="I117" s="101">
        <f t="shared" si="16"/>
        <v>200</v>
      </c>
      <c r="J117" s="159"/>
      <c r="K117" s="156"/>
      <c r="L117" s="102"/>
    </row>
    <row r="118" spans="1:12" s="115" customFormat="1" ht="18">
      <c r="A118" s="108" t="s">
        <v>15</v>
      </c>
      <c r="B118" s="109">
        <v>156</v>
      </c>
      <c r="C118" s="168">
        <v>491.6</v>
      </c>
      <c r="D118" s="99">
        <f>45.4+9.9+47</f>
        <v>102.3</v>
      </c>
      <c r="E118" s="100">
        <f>D118/D107*100</f>
        <v>0.5546579338314229</v>
      </c>
      <c r="F118" s="100">
        <f t="shared" si="17"/>
        <v>65.57692307692308</v>
      </c>
      <c r="G118" s="100">
        <f t="shared" si="14"/>
        <v>20.80960130187144</v>
      </c>
      <c r="H118" s="101">
        <f t="shared" si="18"/>
        <v>53.7</v>
      </c>
      <c r="I118" s="101">
        <f t="shared" si="16"/>
        <v>389.3</v>
      </c>
      <c r="J118" s="158"/>
      <c r="K118" s="156"/>
      <c r="L118" s="102"/>
    </row>
    <row r="119" spans="1:12" s="116" customFormat="1" ht="18">
      <c r="A119" s="113" t="s">
        <v>43</v>
      </c>
      <c r="B119" s="104">
        <f>111.7+24.6</f>
        <v>136.3</v>
      </c>
      <c r="C119" s="166">
        <v>408.8</v>
      </c>
      <c r="D119" s="106">
        <f>45.4+45.4</f>
        <v>90.8</v>
      </c>
      <c r="E119" s="107">
        <f>D119/D118*100</f>
        <v>88.7585532746823</v>
      </c>
      <c r="F119" s="107">
        <f t="shared" si="17"/>
        <v>66.61775495231107</v>
      </c>
      <c r="G119" s="107">
        <f t="shared" si="14"/>
        <v>22.211350293542072</v>
      </c>
      <c r="H119" s="105">
        <f t="shared" si="18"/>
        <v>45.500000000000014</v>
      </c>
      <c r="I119" s="105">
        <f t="shared" si="16"/>
        <v>318</v>
      </c>
      <c r="J119" s="169"/>
      <c r="K119" s="156"/>
      <c r="L119" s="102"/>
    </row>
    <row r="120" spans="1:12" s="115" customFormat="1" ht="18">
      <c r="A120" s="108" t="s">
        <v>105</v>
      </c>
      <c r="B120" s="109">
        <v>20</v>
      </c>
      <c r="C120" s="168">
        <v>317</v>
      </c>
      <c r="D120" s="99"/>
      <c r="E120" s="100">
        <f>D120/D107*100</f>
        <v>0</v>
      </c>
      <c r="F120" s="100">
        <f t="shared" si="17"/>
        <v>0</v>
      </c>
      <c r="G120" s="100">
        <f t="shared" si="14"/>
        <v>0</v>
      </c>
      <c r="H120" s="101">
        <f t="shared" si="18"/>
        <v>20</v>
      </c>
      <c r="I120" s="101">
        <f t="shared" si="16"/>
        <v>317</v>
      </c>
      <c r="J120" s="158"/>
      <c r="K120" s="156"/>
      <c r="L120" s="102"/>
    </row>
    <row r="121" spans="1:12" s="115" customFormat="1" ht="21.75" customHeight="1">
      <c r="A121" s="108" t="s">
        <v>94</v>
      </c>
      <c r="B121" s="109">
        <v>460</v>
      </c>
      <c r="C121" s="168">
        <f>480+80</f>
        <v>560</v>
      </c>
      <c r="D121" s="111"/>
      <c r="E121" s="114">
        <f>D121/D107*100</f>
        <v>0</v>
      </c>
      <c r="F121" s="100">
        <f t="shared" si="17"/>
        <v>0</v>
      </c>
      <c r="G121" s="100">
        <f t="shared" si="14"/>
        <v>0</v>
      </c>
      <c r="H121" s="101">
        <f t="shared" si="18"/>
        <v>460</v>
      </c>
      <c r="I121" s="101">
        <f t="shared" si="16"/>
        <v>560</v>
      </c>
      <c r="J121" s="158"/>
      <c r="K121" s="156"/>
      <c r="L121" s="102"/>
    </row>
    <row r="122" spans="1:12" s="118" customFormat="1" ht="18" hidden="1">
      <c r="A122" s="103" t="s">
        <v>80</v>
      </c>
      <c r="B122" s="104"/>
      <c r="C122" s="166"/>
      <c r="D122" s="106"/>
      <c r="E122" s="100"/>
      <c r="F122" s="117" t="e">
        <f>D122/B122*100</f>
        <v>#DIV/0!</v>
      </c>
      <c r="G122" s="107" t="e">
        <f t="shared" si="14"/>
        <v>#DIV/0!</v>
      </c>
      <c r="H122" s="105">
        <f t="shared" si="18"/>
        <v>0</v>
      </c>
      <c r="I122" s="105">
        <f t="shared" si="16"/>
        <v>0</v>
      </c>
      <c r="J122" s="170"/>
      <c r="K122" s="156"/>
      <c r="L122" s="102"/>
    </row>
    <row r="123" spans="1:12" s="118" customFormat="1" ht="18" hidden="1">
      <c r="A123" s="103" t="s">
        <v>49</v>
      </c>
      <c r="B123" s="104"/>
      <c r="C123" s="166"/>
      <c r="D123" s="106"/>
      <c r="E123" s="100"/>
      <c r="F123" s="107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J123" s="170"/>
      <c r="K123" s="156"/>
      <c r="L123" s="102"/>
    </row>
    <row r="124" spans="1:12" s="115" customFormat="1" ht="36.75">
      <c r="A124" s="108" t="s">
        <v>95</v>
      </c>
      <c r="B124" s="109">
        <v>11479.5</v>
      </c>
      <c r="C124" s="168">
        <v>45511.3</v>
      </c>
      <c r="D124" s="111">
        <f>3529.6+2264.3+1265.3</f>
        <v>7059.2</v>
      </c>
      <c r="E124" s="114">
        <f>D124/D107*100</f>
        <v>38.2741083724612</v>
      </c>
      <c r="F124" s="100">
        <f t="shared" si="17"/>
        <v>61.49396750729561</v>
      </c>
      <c r="G124" s="100">
        <f t="shared" si="14"/>
        <v>15.5108731238176</v>
      </c>
      <c r="H124" s="101">
        <f t="shared" si="18"/>
        <v>4420.3</v>
      </c>
      <c r="I124" s="101">
        <f t="shared" si="16"/>
        <v>38452.100000000006</v>
      </c>
      <c r="J124" s="158"/>
      <c r="K124" s="156"/>
      <c r="L124" s="102"/>
    </row>
    <row r="125" spans="1:12" s="115" customFormat="1" ht="18">
      <c r="A125" s="108" t="s">
        <v>91</v>
      </c>
      <c r="B125" s="109">
        <v>74.4</v>
      </c>
      <c r="C125" s="168">
        <v>700</v>
      </c>
      <c r="D125" s="111"/>
      <c r="E125" s="114">
        <f>D125/D107*100</f>
        <v>0</v>
      </c>
      <c r="F125" s="100">
        <f t="shared" si="17"/>
        <v>0</v>
      </c>
      <c r="G125" s="100">
        <f t="shared" si="14"/>
        <v>0</v>
      </c>
      <c r="H125" s="101">
        <f t="shared" si="18"/>
        <v>74.4</v>
      </c>
      <c r="I125" s="101">
        <f t="shared" si="16"/>
        <v>700</v>
      </c>
      <c r="J125" s="158"/>
      <c r="K125" s="156"/>
      <c r="L125" s="102"/>
    </row>
    <row r="126" spans="1:12" s="115" customFormat="1" ht="36.75">
      <c r="A126" s="108" t="s">
        <v>100</v>
      </c>
      <c r="B126" s="109">
        <v>118</v>
      </c>
      <c r="C126" s="168">
        <v>200</v>
      </c>
      <c r="D126" s="111"/>
      <c r="E126" s="114">
        <f>D126/D107*100</f>
        <v>0</v>
      </c>
      <c r="F126" s="100">
        <f t="shared" si="17"/>
        <v>0</v>
      </c>
      <c r="G126" s="100">
        <f t="shared" si="14"/>
        <v>0</v>
      </c>
      <c r="H126" s="101">
        <f t="shared" si="18"/>
        <v>118</v>
      </c>
      <c r="I126" s="101">
        <f t="shared" si="16"/>
        <v>200</v>
      </c>
      <c r="J126" s="158"/>
      <c r="K126" s="156"/>
      <c r="L126" s="102"/>
    </row>
    <row r="127" spans="1:12" s="115" customFormat="1" ht="36.75">
      <c r="A127" s="108" t="s">
        <v>85</v>
      </c>
      <c r="B127" s="109">
        <v>37</v>
      </c>
      <c r="C127" s="110">
        <v>111.1</v>
      </c>
      <c r="D127" s="111"/>
      <c r="E127" s="114">
        <f>D127/D107*100</f>
        <v>0</v>
      </c>
      <c r="F127" s="100">
        <f t="shared" si="17"/>
        <v>0</v>
      </c>
      <c r="G127" s="100">
        <f t="shared" si="14"/>
        <v>0</v>
      </c>
      <c r="H127" s="101">
        <f t="shared" si="18"/>
        <v>37</v>
      </c>
      <c r="I127" s="101">
        <f t="shared" si="16"/>
        <v>111.1</v>
      </c>
      <c r="J127" s="158"/>
      <c r="K127" s="156"/>
      <c r="L127" s="102"/>
    </row>
    <row r="128" spans="1:12" s="115" customFormat="1" ht="36.75">
      <c r="A128" s="108" t="s">
        <v>57</v>
      </c>
      <c r="B128" s="109">
        <v>135.5</v>
      </c>
      <c r="C128" s="110">
        <v>942</v>
      </c>
      <c r="D128" s="111">
        <f>7+4.2+0.1+12.3+0.2+7.1</f>
        <v>30.9</v>
      </c>
      <c r="E128" s="114">
        <f>D128/D107*100</f>
        <v>0.1675359741484943</v>
      </c>
      <c r="F128" s="100">
        <f t="shared" si="17"/>
        <v>22.804428044280442</v>
      </c>
      <c r="G128" s="100">
        <f t="shared" si="14"/>
        <v>3.2802547770700636</v>
      </c>
      <c r="H128" s="101">
        <f t="shared" si="18"/>
        <v>104.6</v>
      </c>
      <c r="I128" s="101">
        <f t="shared" si="16"/>
        <v>911.1</v>
      </c>
      <c r="J128" s="158"/>
      <c r="K128" s="156"/>
      <c r="L128" s="102"/>
    </row>
    <row r="129" spans="1:12" s="116" customFormat="1" ht="18">
      <c r="A129" s="103" t="s">
        <v>88</v>
      </c>
      <c r="B129" s="104">
        <v>31.8</v>
      </c>
      <c r="C129" s="105">
        <v>510.8</v>
      </c>
      <c r="D129" s="106">
        <f>7+7.1</f>
        <v>14.1</v>
      </c>
      <c r="E129" s="107">
        <f>D129/D128*100</f>
        <v>45.63106796116505</v>
      </c>
      <c r="F129" s="107">
        <f>D129/B129*100</f>
        <v>44.33962264150943</v>
      </c>
      <c r="G129" s="107">
        <f t="shared" si="14"/>
        <v>2.7603758809710257</v>
      </c>
      <c r="H129" s="105">
        <f t="shared" si="18"/>
        <v>17.700000000000003</v>
      </c>
      <c r="I129" s="105">
        <f t="shared" si="16"/>
        <v>496.7</v>
      </c>
      <c r="J129" s="169"/>
      <c r="K129" s="156"/>
      <c r="L129" s="102"/>
    </row>
    <row r="130" spans="1:12" s="115" customFormat="1" ht="36.75">
      <c r="A130" s="108" t="s">
        <v>103</v>
      </c>
      <c r="B130" s="109">
        <v>60</v>
      </c>
      <c r="C130" s="110">
        <v>485</v>
      </c>
      <c r="D130" s="111"/>
      <c r="E130" s="114">
        <f>D130/D107*100</f>
        <v>0</v>
      </c>
      <c r="F130" s="112">
        <f t="shared" si="17"/>
        <v>0</v>
      </c>
      <c r="G130" s="100">
        <f t="shared" si="14"/>
        <v>0</v>
      </c>
      <c r="H130" s="101">
        <f t="shared" si="18"/>
        <v>60</v>
      </c>
      <c r="I130" s="101">
        <f t="shared" si="16"/>
        <v>485</v>
      </c>
      <c r="J130" s="158"/>
      <c r="K130" s="156"/>
      <c r="L130" s="102"/>
    </row>
    <row r="131" spans="1:12" s="116" customFormat="1" ht="18" hidden="1">
      <c r="A131" s="113" t="s">
        <v>43</v>
      </c>
      <c r="B131" s="104"/>
      <c r="C131" s="105"/>
      <c r="D131" s="106"/>
      <c r="E131" s="107"/>
      <c r="F131" s="107" t="e">
        <f>D131/B131*100</f>
        <v>#DIV/0!</v>
      </c>
      <c r="G131" s="107" t="e">
        <f t="shared" si="14"/>
        <v>#DIV/0!</v>
      </c>
      <c r="H131" s="105">
        <f t="shared" si="18"/>
        <v>0</v>
      </c>
      <c r="I131" s="105">
        <f t="shared" si="16"/>
        <v>0</v>
      </c>
      <c r="J131" s="169"/>
      <c r="K131" s="156"/>
      <c r="L131" s="102"/>
    </row>
    <row r="132" spans="1:12" s="115" customFormat="1" ht="35.25" customHeight="1" hidden="1">
      <c r="A132" s="108" t="s">
        <v>102</v>
      </c>
      <c r="B132" s="109"/>
      <c r="C132" s="110"/>
      <c r="D132" s="111"/>
      <c r="E132" s="114">
        <f>D132/D107*100</f>
        <v>0</v>
      </c>
      <c r="F132" s="100" t="e">
        <f t="shared" si="17"/>
        <v>#DIV/0!</v>
      </c>
      <c r="G132" s="100" t="e">
        <f t="shared" si="14"/>
        <v>#DIV/0!</v>
      </c>
      <c r="H132" s="101">
        <f t="shared" si="18"/>
        <v>0</v>
      </c>
      <c r="I132" s="101">
        <f>C132-D132</f>
        <v>0</v>
      </c>
      <c r="J132" s="158"/>
      <c r="K132" s="156"/>
      <c r="L132" s="102"/>
    </row>
    <row r="133" spans="1:12" s="115" customFormat="1" ht="21.75" customHeight="1" hidden="1">
      <c r="A133" s="108" t="s">
        <v>101</v>
      </c>
      <c r="B133" s="109"/>
      <c r="C133" s="110"/>
      <c r="D133" s="111"/>
      <c r="E133" s="114">
        <f>D133/D107*100</f>
        <v>0</v>
      </c>
      <c r="F133" s="100" t="e">
        <f t="shared" si="17"/>
        <v>#DIV/0!</v>
      </c>
      <c r="G133" s="100" t="e">
        <f t="shared" si="14"/>
        <v>#DIV/0!</v>
      </c>
      <c r="H133" s="101">
        <f t="shared" si="18"/>
        <v>0</v>
      </c>
      <c r="I133" s="101">
        <f t="shared" si="16"/>
        <v>0</v>
      </c>
      <c r="J133" s="158"/>
      <c r="K133" s="156"/>
      <c r="L133" s="102"/>
    </row>
    <row r="134" spans="1:12" s="115" customFormat="1" ht="35.25" customHeight="1">
      <c r="A134" s="108" t="s">
        <v>87</v>
      </c>
      <c r="B134" s="109">
        <v>70</v>
      </c>
      <c r="C134" s="110">
        <v>383.2</v>
      </c>
      <c r="D134" s="111"/>
      <c r="E134" s="114">
        <f>D134/D107*100</f>
        <v>0</v>
      </c>
      <c r="F134" s="100">
        <f t="shared" si="17"/>
        <v>0</v>
      </c>
      <c r="G134" s="100">
        <f t="shared" si="14"/>
        <v>0</v>
      </c>
      <c r="H134" s="101">
        <f t="shared" si="18"/>
        <v>70</v>
      </c>
      <c r="I134" s="101">
        <f t="shared" si="16"/>
        <v>383.2</v>
      </c>
      <c r="J134" s="158"/>
      <c r="K134" s="156"/>
      <c r="L134" s="102"/>
    </row>
    <row r="135" spans="1:12" s="115" customFormat="1" ht="39" customHeight="1">
      <c r="A135" s="108" t="s">
        <v>54</v>
      </c>
      <c r="B135" s="109">
        <v>10</v>
      </c>
      <c r="C135" s="110">
        <v>350</v>
      </c>
      <c r="D135" s="111"/>
      <c r="E135" s="114">
        <f>D135/D107*100</f>
        <v>0</v>
      </c>
      <c r="F135" s="100">
        <f t="shared" si="17"/>
        <v>0</v>
      </c>
      <c r="G135" s="100">
        <f t="shared" si="14"/>
        <v>0</v>
      </c>
      <c r="H135" s="101">
        <f t="shared" si="18"/>
        <v>10</v>
      </c>
      <c r="I135" s="101">
        <f t="shared" si="16"/>
        <v>350</v>
      </c>
      <c r="J135" s="158"/>
      <c r="K135" s="183"/>
      <c r="L135" s="184"/>
    </row>
    <row r="136" spans="1:12" s="116" customFormat="1" ht="18">
      <c r="A136" s="103" t="s">
        <v>88</v>
      </c>
      <c r="B136" s="104">
        <v>5</v>
      </c>
      <c r="C136" s="105">
        <v>110</v>
      </c>
      <c r="D136" s="106"/>
      <c r="E136" s="107"/>
      <c r="F136" s="100">
        <f>D136/B136*100</f>
        <v>0</v>
      </c>
      <c r="G136" s="107">
        <f>D136/C136*100</f>
        <v>0</v>
      </c>
      <c r="H136" s="105">
        <f>B136-D136</f>
        <v>5</v>
      </c>
      <c r="I136" s="105">
        <f>C136-D136</f>
        <v>110</v>
      </c>
      <c r="J136" s="169"/>
      <c r="K136" s="183"/>
      <c r="L136" s="184"/>
    </row>
    <row r="137" spans="1:12" s="115" customFormat="1" ht="36.75" hidden="1">
      <c r="A137" s="108" t="s">
        <v>84</v>
      </c>
      <c r="B137" s="109"/>
      <c r="C137" s="110"/>
      <c r="D137" s="111"/>
      <c r="E137" s="114">
        <f>D137/D107*100</f>
        <v>0</v>
      </c>
      <c r="F137" s="100" t="e">
        <f>D137/B137*100</f>
        <v>#DIV/0!</v>
      </c>
      <c r="G137" s="100" t="e">
        <f>D137/C137*100</f>
        <v>#DIV/0!</v>
      </c>
      <c r="H137" s="101">
        <f t="shared" si="18"/>
        <v>0</v>
      </c>
      <c r="I137" s="101">
        <f t="shared" si="16"/>
        <v>0</v>
      </c>
      <c r="J137" s="158"/>
      <c r="K137" s="183"/>
      <c r="L137" s="184"/>
    </row>
    <row r="138" spans="1:12" s="116" customFormat="1" ht="18" hidden="1">
      <c r="A138" s="103" t="s">
        <v>25</v>
      </c>
      <c r="B138" s="104"/>
      <c r="C138" s="105"/>
      <c r="D138" s="106"/>
      <c r="E138" s="107" t="e">
        <f>D138/D137*100</f>
        <v>#DIV/0!</v>
      </c>
      <c r="F138" s="107" t="e">
        <f t="shared" si="17"/>
        <v>#DIV/0!</v>
      </c>
      <c r="G138" s="107" t="e">
        <f>D138/C138*100</f>
        <v>#DIV/0!</v>
      </c>
      <c r="H138" s="105">
        <f t="shared" si="18"/>
        <v>0</v>
      </c>
      <c r="I138" s="105">
        <f t="shared" si="16"/>
        <v>0</v>
      </c>
      <c r="J138" s="169"/>
      <c r="K138" s="183"/>
      <c r="L138" s="184"/>
    </row>
    <row r="139" spans="1:12" s="115" customFormat="1" ht="18">
      <c r="A139" s="108" t="s">
        <v>96</v>
      </c>
      <c r="B139" s="109">
        <v>421.2</v>
      </c>
      <c r="C139" s="110">
        <v>1760</v>
      </c>
      <c r="D139" s="111">
        <f>107.3+0.4+30.4+78.2</f>
        <v>216.3</v>
      </c>
      <c r="E139" s="114">
        <f>D139/D107*100</f>
        <v>1.1727518190394601</v>
      </c>
      <c r="F139" s="100">
        <f t="shared" si="17"/>
        <v>51.35327635327636</v>
      </c>
      <c r="G139" s="100">
        <f t="shared" si="14"/>
        <v>12.289772727272728</v>
      </c>
      <c r="H139" s="101">
        <f t="shared" si="18"/>
        <v>204.89999999999998</v>
      </c>
      <c r="I139" s="101">
        <f t="shared" si="16"/>
        <v>1543.7</v>
      </c>
      <c r="J139" s="158"/>
      <c r="K139" s="183"/>
      <c r="L139" s="184"/>
    </row>
    <row r="140" spans="1:12" s="116" customFormat="1" ht="18">
      <c r="A140" s="113" t="s">
        <v>43</v>
      </c>
      <c r="B140" s="104">
        <f>285.3+62.8</f>
        <v>348.1</v>
      </c>
      <c r="C140" s="105">
        <v>1437.4</v>
      </c>
      <c r="D140" s="106">
        <f>107.3+25.4+76</f>
        <v>208.7</v>
      </c>
      <c r="E140" s="107">
        <f>D140/D139*100</f>
        <v>96.48636153490521</v>
      </c>
      <c r="F140" s="107">
        <f aca="true" t="shared" si="19" ref="F140:F149">D140/B140*100</f>
        <v>59.95403619649525</v>
      </c>
      <c r="G140" s="107">
        <f t="shared" si="14"/>
        <v>14.519270905802143</v>
      </c>
      <c r="H140" s="105">
        <f t="shared" si="18"/>
        <v>139.40000000000003</v>
      </c>
      <c r="I140" s="105">
        <f t="shared" si="16"/>
        <v>1228.7</v>
      </c>
      <c r="J140" s="169"/>
      <c r="K140" s="183"/>
      <c r="L140" s="184"/>
    </row>
    <row r="141" spans="1:13" s="116" customFormat="1" ht="18">
      <c r="A141" s="103" t="s">
        <v>25</v>
      </c>
      <c r="B141" s="104">
        <f>18.7+0.2+3</f>
        <v>21.9</v>
      </c>
      <c r="C141" s="105">
        <v>40</v>
      </c>
      <c r="D141" s="106">
        <f>0.4+4.9</f>
        <v>5.300000000000001</v>
      </c>
      <c r="E141" s="107">
        <f>D141/D139*100</f>
        <v>2.450300508552936</v>
      </c>
      <c r="F141" s="107">
        <f t="shared" si="19"/>
        <v>24.200913242009136</v>
      </c>
      <c r="G141" s="107">
        <f>D141/C141*100</f>
        <v>13.25</v>
      </c>
      <c r="H141" s="105">
        <f t="shared" si="18"/>
        <v>16.599999999999998</v>
      </c>
      <c r="I141" s="105">
        <f t="shared" si="16"/>
        <v>34.7</v>
      </c>
      <c r="J141" s="169"/>
      <c r="K141" s="183"/>
      <c r="L141" s="184"/>
      <c r="M141" s="157"/>
    </row>
    <row r="142" spans="1:12" s="115" customFormat="1" ht="33.75" customHeight="1" hidden="1">
      <c r="A142" s="119" t="s">
        <v>56</v>
      </c>
      <c r="B142" s="109"/>
      <c r="C142" s="110"/>
      <c r="D142" s="111"/>
      <c r="E142" s="114">
        <f>D142/D107*100</f>
        <v>0</v>
      </c>
      <c r="F142" s="100" t="e">
        <f t="shared" si="19"/>
        <v>#DIV/0!</v>
      </c>
      <c r="G142" s="100" t="e">
        <f t="shared" si="14"/>
        <v>#DIV/0!</v>
      </c>
      <c r="H142" s="101">
        <f t="shared" si="18"/>
        <v>0</v>
      </c>
      <c r="I142" s="101">
        <f t="shared" si="16"/>
        <v>0</v>
      </c>
      <c r="J142" s="158"/>
      <c r="K142" s="183"/>
      <c r="L142" s="184"/>
    </row>
    <row r="143" spans="1:12" s="115" customFormat="1" ht="18" hidden="1">
      <c r="A143" s="119" t="s">
        <v>92</v>
      </c>
      <c r="B143" s="109"/>
      <c r="C143" s="110"/>
      <c r="D143" s="111"/>
      <c r="E143" s="114">
        <f>D143/D107*100</f>
        <v>0</v>
      </c>
      <c r="F143" s="100" t="e">
        <f>D143/B143*100</f>
        <v>#DIV/0!</v>
      </c>
      <c r="G143" s="100" t="e">
        <f t="shared" si="14"/>
        <v>#DIV/0!</v>
      </c>
      <c r="H143" s="101">
        <f t="shared" si="18"/>
        <v>0</v>
      </c>
      <c r="I143" s="101">
        <f t="shared" si="16"/>
        <v>0</v>
      </c>
      <c r="J143" s="158"/>
      <c r="K143" s="183"/>
      <c r="L143" s="184"/>
    </row>
    <row r="144" spans="1:12" s="115" customFormat="1" ht="18">
      <c r="A144" s="119" t="s">
        <v>97</v>
      </c>
      <c r="B144" s="109">
        <v>10549.3</v>
      </c>
      <c r="C144" s="110">
        <v>56447.1</v>
      </c>
      <c r="D144" s="111">
        <f>254.7+197.5+629.8+725.8+539.8+84</f>
        <v>2431.6</v>
      </c>
      <c r="E144" s="114">
        <f>D144/D107*100</f>
        <v>13.183834133963716</v>
      </c>
      <c r="F144" s="100">
        <f t="shared" si="19"/>
        <v>23.04987060752846</v>
      </c>
      <c r="G144" s="100">
        <f t="shared" si="14"/>
        <v>4.307750088135617</v>
      </c>
      <c r="H144" s="101">
        <f t="shared" si="18"/>
        <v>8117.699999999999</v>
      </c>
      <c r="I144" s="101">
        <f t="shared" si="16"/>
        <v>54015.5</v>
      </c>
      <c r="J144" s="158"/>
      <c r="K144" s="183"/>
      <c r="L144" s="184"/>
    </row>
    <row r="145" spans="1:12" s="115" customFormat="1" ht="18" hidden="1">
      <c r="A145" s="119" t="s">
        <v>86</v>
      </c>
      <c r="B145" s="109"/>
      <c r="C145" s="110"/>
      <c r="D145" s="111"/>
      <c r="E145" s="114">
        <f>D145/D107*100</f>
        <v>0</v>
      </c>
      <c r="F145" s="100" t="e">
        <f t="shared" si="19"/>
        <v>#DIV/0!</v>
      </c>
      <c r="G145" s="100" t="e">
        <f t="shared" si="14"/>
        <v>#DIV/0!</v>
      </c>
      <c r="H145" s="101">
        <f t="shared" si="18"/>
        <v>0</v>
      </c>
      <c r="I145" s="101">
        <f t="shared" si="16"/>
        <v>0</v>
      </c>
      <c r="J145" s="158"/>
      <c r="K145" s="183"/>
      <c r="L145" s="184"/>
    </row>
    <row r="146" spans="1:12" s="115" customFormat="1" ht="36.75" hidden="1">
      <c r="A146" s="119" t="s">
        <v>104</v>
      </c>
      <c r="B146" s="109"/>
      <c r="C146" s="110"/>
      <c r="D146" s="111"/>
      <c r="E146" s="114">
        <f>D146/D109*100</f>
        <v>0</v>
      </c>
      <c r="F146" s="100" t="e">
        <f>D146/B146*100</f>
        <v>#DIV/0!</v>
      </c>
      <c r="G146" s="100" t="e">
        <f>D146/C146*100</f>
        <v>#DIV/0!</v>
      </c>
      <c r="H146" s="101">
        <f>B146-D146</f>
        <v>0</v>
      </c>
      <c r="I146" s="101">
        <f>C146-D146</f>
        <v>0</v>
      </c>
      <c r="J146" s="158"/>
      <c r="K146" s="183"/>
      <c r="L146" s="184"/>
    </row>
    <row r="147" spans="1:12" s="115" customFormat="1" ht="18">
      <c r="A147" s="108" t="s">
        <v>98</v>
      </c>
      <c r="B147" s="109">
        <v>46.4</v>
      </c>
      <c r="C147" s="110">
        <v>162.3</v>
      </c>
      <c r="D147" s="111"/>
      <c r="E147" s="114">
        <f>D147/D107*100</f>
        <v>0</v>
      </c>
      <c r="F147" s="100">
        <f t="shared" si="19"/>
        <v>0</v>
      </c>
      <c r="G147" s="100">
        <f t="shared" si="14"/>
        <v>0</v>
      </c>
      <c r="H147" s="101">
        <f t="shared" si="18"/>
        <v>46.4</v>
      </c>
      <c r="I147" s="101">
        <f t="shared" si="16"/>
        <v>162.3</v>
      </c>
      <c r="J147" s="158"/>
      <c r="K147" s="183"/>
      <c r="L147" s="184"/>
    </row>
    <row r="148" spans="1:12" s="115" customFormat="1" ht="18" customHeight="1">
      <c r="A148" s="108" t="s">
        <v>77</v>
      </c>
      <c r="B148" s="109">
        <v>2700</v>
      </c>
      <c r="C148" s="110">
        <v>10563.8</v>
      </c>
      <c r="D148" s="111">
        <v>791.9</v>
      </c>
      <c r="E148" s="114">
        <f>D148/D107*100</f>
        <v>4.293583751721445</v>
      </c>
      <c r="F148" s="100">
        <f t="shared" si="19"/>
        <v>29.32962962962963</v>
      </c>
      <c r="G148" s="100">
        <f t="shared" si="14"/>
        <v>7.496355478142336</v>
      </c>
      <c r="H148" s="101">
        <f t="shared" si="18"/>
        <v>1908.1</v>
      </c>
      <c r="I148" s="101">
        <f t="shared" si="16"/>
        <v>9771.9</v>
      </c>
      <c r="J148" s="158"/>
      <c r="K148" s="183"/>
      <c r="L148" s="184"/>
    </row>
    <row r="149" spans="1:12" s="115" customFormat="1" ht="19.5" customHeight="1">
      <c r="A149" s="149" t="s">
        <v>50</v>
      </c>
      <c r="B149" s="150">
        <v>33343.2</v>
      </c>
      <c r="C149" s="151">
        <v>321056.7</v>
      </c>
      <c r="D149" s="152"/>
      <c r="E149" s="153">
        <f>D149/D107*100</f>
        <v>0</v>
      </c>
      <c r="F149" s="154">
        <f t="shared" si="19"/>
        <v>0</v>
      </c>
      <c r="G149" s="154">
        <f t="shared" si="14"/>
        <v>0</v>
      </c>
      <c r="H149" s="155">
        <f t="shared" si="18"/>
        <v>33343.2</v>
      </c>
      <c r="I149" s="155">
        <f>C149-D149</f>
        <v>321056.7</v>
      </c>
      <c r="J149" s="158"/>
      <c r="K149" s="183"/>
      <c r="L149" s="184"/>
    </row>
    <row r="150" spans="1:12" s="115" customFormat="1" ht="18">
      <c r="A150" s="108" t="s">
        <v>99</v>
      </c>
      <c r="B150" s="109">
        <v>10558.2</v>
      </c>
      <c r="C150" s="110">
        <v>42232</v>
      </c>
      <c r="D150" s="111">
        <f>819+819+819.1+1062.3+1173.1+1173.1+1173.2</f>
        <v>7038.8</v>
      </c>
      <c r="E150" s="114">
        <f>D150/D107*100</f>
        <v>38.16350209826608</v>
      </c>
      <c r="F150" s="100">
        <f t="shared" si="17"/>
        <v>66.66666666666666</v>
      </c>
      <c r="G150" s="100">
        <f t="shared" si="14"/>
        <v>16.66698238302709</v>
      </c>
      <c r="H150" s="101">
        <f t="shared" si="18"/>
        <v>3519.4000000000005</v>
      </c>
      <c r="I150" s="101">
        <f t="shared" si="16"/>
        <v>35193.2</v>
      </c>
      <c r="J150" s="158"/>
      <c r="K150" s="183"/>
      <c r="L150" s="184"/>
    </row>
    <row r="151" spans="1:12" s="2" customFormat="1" ht="18.75" thickBot="1">
      <c r="A151" s="29" t="s">
        <v>29</v>
      </c>
      <c r="B151" s="63"/>
      <c r="C151" s="63"/>
      <c r="D151" s="44">
        <f>D43+D69+D72+D77+D79+D87+D102+D107+D100+D84+D98</f>
        <v>19273.100000000002</v>
      </c>
      <c r="E151" s="15"/>
      <c r="F151" s="15"/>
      <c r="G151" s="6"/>
      <c r="H151" s="52"/>
      <c r="I151" s="44"/>
      <c r="K151" s="183"/>
      <c r="L151" s="185"/>
    </row>
    <row r="152" spans="1:12" ht="18.75" thickBot="1">
      <c r="A152" s="12" t="s">
        <v>18</v>
      </c>
      <c r="B152" s="40">
        <f>B6+B18+B33+B43+B51+B59+B69+B72+B77+B79+B87+B90+B95+B102+B107+B100+B84+B98+B45</f>
        <v>483344.30000000005</v>
      </c>
      <c r="C152" s="40">
        <f>C6+C18+C33+C43+C51+C59+C69+C72+C77+C79+C87+C90+C95+C102+C107+C100+C84+C98+C45</f>
        <v>2103189.8</v>
      </c>
      <c r="D152" s="40">
        <f>D6+D18+D33+D43+D51+D59+D69+D72+D77+D79+D87+D90+D95+D102+D107+D100+D84+D98+D45</f>
        <v>236735.69999999995</v>
      </c>
      <c r="E152" s="28">
        <v>100</v>
      </c>
      <c r="F152" s="3">
        <f>D152/B152*100</f>
        <v>48.9786886904428</v>
      </c>
      <c r="G152" s="3">
        <f aca="true" t="shared" si="20" ref="G152:G158">D152/C152*100</f>
        <v>11.256031196043265</v>
      </c>
      <c r="H152" s="40">
        <f aca="true" t="shared" si="21" ref="H152:H158">B152-D152</f>
        <v>246608.6000000001</v>
      </c>
      <c r="I152" s="40">
        <f aca="true" t="shared" si="22" ref="I152:I158">C152-D152</f>
        <v>1866454.0999999999</v>
      </c>
      <c r="K152" s="186"/>
      <c r="L152" s="187"/>
    </row>
    <row r="153" spans="1:12" ht="18">
      <c r="A153" s="16" t="s">
        <v>5</v>
      </c>
      <c r="B153" s="51">
        <f>B8+B20+B34+B52+B60+B91+B115+B119+B46+B140+B131+B103</f>
        <v>213112.8</v>
      </c>
      <c r="C153" s="51">
        <f>C8+C20+C34+C52+C60+C91+C115+C119+C46+C140+C131+C103</f>
        <v>889812.0000000001</v>
      </c>
      <c r="D153" s="51">
        <f>D8+D20+D34+D52+D60+D91+D115+D119+D46+D140+D131+D103</f>
        <v>133992.78</v>
      </c>
      <c r="E153" s="6">
        <f>D153/D152*100</f>
        <v>56.60015789760481</v>
      </c>
      <c r="F153" s="6">
        <f aca="true" t="shared" si="23" ref="F153:F158">D153/B153*100</f>
        <v>62.87411173800918</v>
      </c>
      <c r="G153" s="6">
        <f t="shared" si="20"/>
        <v>15.05854944639991</v>
      </c>
      <c r="H153" s="52">
        <f t="shared" si="21"/>
        <v>79120.01999999999</v>
      </c>
      <c r="I153" s="62">
        <f t="shared" si="22"/>
        <v>755819.2200000001</v>
      </c>
      <c r="K153" s="183"/>
      <c r="L153" s="187"/>
    </row>
    <row r="154" spans="1:12" ht="18">
      <c r="A154" s="16" t="s">
        <v>0</v>
      </c>
      <c r="B154" s="52">
        <f>B11+B23+B36+B55+B62+B92+B49+B141+B109+B112+B96+B138</f>
        <v>48623.80000000001</v>
      </c>
      <c r="C154" s="52">
        <f>C11+C23+C36+C55+C62+C92+C49+C141+C109+C112+C96+C138</f>
        <v>110074.39999999998</v>
      </c>
      <c r="D154" s="52">
        <f>D11+D23+D36+D55+D62+D92+D49+D141+D109+D112+D96+D138</f>
        <v>13557.5</v>
      </c>
      <c r="E154" s="6">
        <f>D154/D152*100</f>
        <v>5.7268506608846925</v>
      </c>
      <c r="F154" s="6">
        <f t="shared" si="23"/>
        <v>27.882436173232033</v>
      </c>
      <c r="G154" s="6">
        <f t="shared" si="20"/>
        <v>12.316669452661111</v>
      </c>
      <c r="H154" s="52">
        <f t="shared" si="21"/>
        <v>35066.30000000001</v>
      </c>
      <c r="I154" s="62">
        <f t="shared" si="22"/>
        <v>96516.89999999998</v>
      </c>
      <c r="K154" s="183"/>
      <c r="L154" s="188"/>
    </row>
    <row r="155" spans="1:12" ht="18">
      <c r="A155" s="16" t="s">
        <v>1</v>
      </c>
      <c r="B155" s="51">
        <f>B22+B10+B54+B48+B61+B35+B123</f>
        <v>14223.800000000001</v>
      </c>
      <c r="C155" s="51">
        <f>C22+C10+C54+C48+C61+C35+C123</f>
        <v>54269.5</v>
      </c>
      <c r="D155" s="51">
        <f>D22+D10+D54+D48+D61+D35+D123</f>
        <v>3027.5</v>
      </c>
      <c r="E155" s="6">
        <f>D155/D152*100</f>
        <v>1.2788523234983151</v>
      </c>
      <c r="F155" s="6">
        <f t="shared" si="23"/>
        <v>21.284748098257847</v>
      </c>
      <c r="G155" s="6">
        <f t="shared" si="20"/>
        <v>5.578639935875584</v>
      </c>
      <c r="H155" s="52">
        <f t="shared" si="21"/>
        <v>11196.300000000001</v>
      </c>
      <c r="I155" s="62">
        <f t="shared" si="22"/>
        <v>51242</v>
      </c>
      <c r="K155" s="156"/>
      <c r="L155" s="33"/>
    </row>
    <row r="156" spans="1:12" ht="21" customHeight="1">
      <c r="A156" s="16" t="s">
        <v>14</v>
      </c>
      <c r="B156" s="51">
        <f>B12+B24+B104+B63+B38+B93+B129+B56+B136</f>
        <v>6229</v>
      </c>
      <c r="C156" s="51">
        <f>C12+C24+C104+C63+C38+C93+C129+C56+C136</f>
        <v>40455.4</v>
      </c>
      <c r="D156" s="51">
        <f>D12+D24+D104+D63+D38+D93+D129+D56+D136</f>
        <v>3107.7999999999997</v>
      </c>
      <c r="E156" s="6">
        <f>D156/D152*100</f>
        <v>1.3127720069258673</v>
      </c>
      <c r="F156" s="6">
        <f t="shared" si="23"/>
        <v>49.89243859367474</v>
      </c>
      <c r="G156" s="6">
        <f t="shared" si="20"/>
        <v>7.682039974885922</v>
      </c>
      <c r="H156" s="52">
        <f>B156-D156</f>
        <v>3121.2000000000003</v>
      </c>
      <c r="I156" s="62">
        <f t="shared" si="22"/>
        <v>37347.6</v>
      </c>
      <c r="K156" s="156"/>
      <c r="L156" s="69"/>
    </row>
    <row r="157" spans="1:12" ht="18">
      <c r="A157" s="16" t="s">
        <v>2</v>
      </c>
      <c r="B157" s="51">
        <f>B9+B21+B47+B53+B122</f>
        <v>0.8</v>
      </c>
      <c r="C157" s="51">
        <f>C9+C21+C47+C53+C122</f>
        <v>15.4</v>
      </c>
      <c r="D157" s="51">
        <f>D9+D21+D47+D53+D122</f>
        <v>0</v>
      </c>
      <c r="E157" s="6">
        <f>D157/D152*100</f>
        <v>0</v>
      </c>
      <c r="F157" s="6">
        <f t="shared" si="23"/>
        <v>0</v>
      </c>
      <c r="G157" s="6">
        <f t="shared" si="20"/>
        <v>0</v>
      </c>
      <c r="H157" s="52">
        <f t="shared" si="21"/>
        <v>0.8</v>
      </c>
      <c r="I157" s="62">
        <f t="shared" si="22"/>
        <v>15.4</v>
      </c>
      <c r="K157" s="156"/>
      <c r="L157" s="33"/>
    </row>
    <row r="158" spans="1:12" ht="18.75" thickBot="1">
      <c r="A158" s="88" t="s">
        <v>27</v>
      </c>
      <c r="B158" s="64">
        <f>B152-B153-B154-B155-B156-B157</f>
        <v>201154.10000000006</v>
      </c>
      <c r="C158" s="64">
        <f>C152-C153-C154-C155-C156-C157</f>
        <v>1008563.0999999999</v>
      </c>
      <c r="D158" s="64">
        <f>D152-D153-D154-D155-D156-D157</f>
        <v>83050.11999999995</v>
      </c>
      <c r="E158" s="31">
        <f>D158/D152*100</f>
        <v>35.081367111086315</v>
      </c>
      <c r="F158" s="31">
        <f t="shared" si="23"/>
        <v>41.28681443728958</v>
      </c>
      <c r="G158" s="31">
        <f t="shared" si="20"/>
        <v>8.234499160240937</v>
      </c>
      <c r="H158" s="89">
        <f t="shared" si="21"/>
        <v>118103.98000000011</v>
      </c>
      <c r="I158" s="89">
        <f t="shared" si="22"/>
        <v>925512.9799999999</v>
      </c>
      <c r="K158" s="156"/>
      <c r="L158" s="69"/>
    </row>
    <row r="159" spans="7:8" ht="12.75">
      <c r="G159" s="18"/>
      <c r="H159" s="18"/>
    </row>
    <row r="160" spans="3:11" ht="12.75">
      <c r="C160" s="156"/>
      <c r="G160" s="18"/>
      <c r="H160" s="18"/>
      <c r="I160" s="18"/>
      <c r="K160" s="95"/>
    </row>
    <row r="161" spans="7:11" ht="12.75">
      <c r="G161" s="18"/>
      <c r="H161" s="18"/>
      <c r="K161" s="95"/>
    </row>
    <row r="162" spans="7:11" ht="12.75">
      <c r="G162" s="18"/>
      <c r="H162" s="18"/>
      <c r="K162" s="95"/>
    </row>
    <row r="163" spans="4:8" ht="12.75">
      <c r="D163" s="156"/>
      <c r="G163" s="18"/>
      <c r="H163" s="18"/>
    </row>
    <row r="164" spans="2:8" ht="12.75">
      <c r="B164" s="163"/>
      <c r="C164" s="164"/>
      <c r="G164" s="18"/>
      <c r="H164" s="18"/>
    </row>
    <row r="165" spans="2:8" ht="12.75">
      <c r="B165" s="92"/>
      <c r="C165" s="92"/>
      <c r="D165" s="92"/>
      <c r="G165" s="18"/>
      <c r="H165" s="18"/>
    </row>
    <row r="166" spans="2:8" ht="12.75">
      <c r="B166" s="92"/>
      <c r="G166" s="18"/>
      <c r="H166" s="18"/>
    </row>
    <row r="167" spans="2:8" ht="12.75">
      <c r="B167" s="92"/>
      <c r="C167" s="156"/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3:8" ht="12.75">
      <c r="C173" s="156"/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8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фінансування'!C152</f>
        <v>2103189.8</v>
      </c>
    </row>
    <row r="2" spans="1:5" ht="15">
      <c r="A2" s="4"/>
      <c r="B2" s="4"/>
      <c r="C2" s="4"/>
      <c r="D2" s="4" t="s">
        <v>31</v>
      </c>
      <c r="E2" s="5">
        <f>'аналіз фінансування'!D152</f>
        <v>236735.69999999995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фінансування'!C152</f>
        <v>2103189.8</v>
      </c>
    </row>
    <row r="2" spans="1:5" ht="15">
      <c r="A2" s="4"/>
      <c r="B2" s="4"/>
      <c r="C2" s="4"/>
      <c r="D2" s="4" t="s">
        <v>31</v>
      </c>
      <c r="E2" s="5">
        <f>'аналіз фінансування'!D152</f>
        <v>236735.69999999995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2018-02-23T12:47:49Z</cp:lastPrinted>
  <dcterms:created xsi:type="dcterms:W3CDTF">2000-06-20T04:48:00Z</dcterms:created>
  <dcterms:modified xsi:type="dcterms:W3CDTF">2018-03-02T10:44:50Z</dcterms:modified>
  <cp:category/>
  <cp:version/>
  <cp:contentType/>
  <cp:contentStatus/>
</cp:coreProperties>
</file>